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15" windowWidth="15360" windowHeight="6930"/>
  </bookViews>
  <sheets>
    <sheet name="01.10.23" sheetId="10" r:id="rId1"/>
    <sheet name="01.10.23 5,5%" sheetId="11" r:id="rId2"/>
  </sheets>
  <calcPr calcId="124519"/>
</workbook>
</file>

<file path=xl/calcChain.xml><?xml version="1.0" encoding="utf-8"?>
<calcChain xmlns="http://schemas.openxmlformats.org/spreadsheetml/2006/main">
  <c r="R38" i="10"/>
  <c r="G22"/>
  <c r="S22"/>
  <c r="H22"/>
  <c r="J22"/>
  <c r="K22"/>
  <c r="M22"/>
  <c r="G23"/>
  <c r="H23"/>
  <c r="S23"/>
  <c r="J23"/>
  <c r="M23"/>
  <c r="G24"/>
  <c r="H24"/>
  <c r="J24"/>
  <c r="S24"/>
  <c r="M24"/>
  <c r="G25"/>
  <c r="H25"/>
  <c r="J25"/>
  <c r="S25"/>
  <c r="M25"/>
  <c r="G26"/>
  <c r="H26"/>
  <c r="J26"/>
  <c r="S26"/>
  <c r="M26"/>
  <c r="G27"/>
  <c r="H27"/>
  <c r="S27"/>
  <c r="J27"/>
  <c r="M27"/>
  <c r="G28"/>
  <c r="H28"/>
  <c r="J28"/>
  <c r="M28"/>
  <c r="F30"/>
  <c r="K30"/>
  <c r="L30"/>
  <c r="N30"/>
  <c r="O30"/>
  <c r="O41"/>
  <c r="I32"/>
  <c r="J32"/>
  <c r="L32"/>
  <c r="N32"/>
  <c r="S32"/>
  <c r="I33"/>
  <c r="J33"/>
  <c r="S33"/>
  <c r="L33"/>
  <c r="N33"/>
  <c r="I34"/>
  <c r="J34"/>
  <c r="S34"/>
  <c r="L34"/>
  <c r="N34"/>
  <c r="I35"/>
  <c r="I36"/>
  <c r="J35"/>
  <c r="L35"/>
  <c r="L36"/>
  <c r="L41"/>
  <c r="N35"/>
  <c r="F36"/>
  <c r="O36"/>
  <c r="P36"/>
  <c r="I38"/>
  <c r="N38"/>
  <c r="Q38"/>
  <c r="I39"/>
  <c r="I40"/>
  <c r="S39"/>
  <c r="N39"/>
  <c r="F40"/>
  <c r="O40"/>
  <c r="P40"/>
  <c r="Q40"/>
  <c r="Q41"/>
  <c r="J26" i="11"/>
  <c r="J30"/>
  <c r="J41"/>
  <c r="I35"/>
  <c r="R35"/>
  <c r="U35"/>
  <c r="J24"/>
  <c r="P40"/>
  <c r="O40"/>
  <c r="F40"/>
  <c r="E40"/>
  <c r="N39"/>
  <c r="I39"/>
  <c r="R39"/>
  <c r="U39"/>
  <c r="Q38"/>
  <c r="Q40"/>
  <c r="Q41"/>
  <c r="N38"/>
  <c r="I38"/>
  <c r="I40"/>
  <c r="R38"/>
  <c r="U37"/>
  <c r="P36"/>
  <c r="O36"/>
  <c r="F36"/>
  <c r="E36"/>
  <c r="N35"/>
  <c r="L35"/>
  <c r="J35"/>
  <c r="N34"/>
  <c r="L34"/>
  <c r="J34"/>
  <c r="I34"/>
  <c r="R34"/>
  <c r="U34"/>
  <c r="N33"/>
  <c r="L33"/>
  <c r="L36"/>
  <c r="L41"/>
  <c r="J33"/>
  <c r="J36"/>
  <c r="I33"/>
  <c r="N32"/>
  <c r="L32"/>
  <c r="J32"/>
  <c r="I32"/>
  <c r="I36"/>
  <c r="O30"/>
  <c r="O41"/>
  <c r="N30"/>
  <c r="L30"/>
  <c r="F30"/>
  <c r="E30"/>
  <c r="E41"/>
  <c r="M28"/>
  <c r="J28"/>
  <c r="H28"/>
  <c r="G28"/>
  <c r="R28"/>
  <c r="M27"/>
  <c r="J27"/>
  <c r="H27"/>
  <c r="R27"/>
  <c r="G27"/>
  <c r="M26"/>
  <c r="H26"/>
  <c r="G26"/>
  <c r="M25"/>
  <c r="J25"/>
  <c r="H25"/>
  <c r="G25"/>
  <c r="M24"/>
  <c r="H24"/>
  <c r="G24"/>
  <c r="R24"/>
  <c r="M23"/>
  <c r="J23"/>
  <c r="H23"/>
  <c r="R23"/>
  <c r="G23"/>
  <c r="M22"/>
  <c r="K22"/>
  <c r="K30"/>
  <c r="K41"/>
  <c r="J22"/>
  <c r="H22"/>
  <c r="G22"/>
  <c r="R22"/>
  <c r="K41" i="10"/>
  <c r="P41"/>
  <c r="E30"/>
  <c r="E40"/>
  <c r="E36"/>
  <c r="E41"/>
  <c r="N40" i="11"/>
  <c r="R25"/>
  <c r="P41"/>
  <c r="R40"/>
  <c r="U40"/>
  <c r="U38"/>
  <c r="I41"/>
  <c r="F41"/>
  <c r="N36"/>
  <c r="N41"/>
  <c r="R33"/>
  <c r="U33"/>
  <c r="R32"/>
  <c r="M30"/>
  <c r="M41"/>
  <c r="H30"/>
  <c r="H41"/>
  <c r="G30"/>
  <c r="G41"/>
  <c r="R36"/>
  <c r="U36"/>
  <c r="U32"/>
  <c r="R26"/>
  <c r="R30"/>
  <c r="R41"/>
  <c r="U41"/>
  <c r="J36" i="10"/>
  <c r="N40"/>
  <c r="I41"/>
  <c r="S38"/>
  <c r="S40"/>
  <c r="S35"/>
  <c r="N36"/>
  <c r="N41"/>
  <c r="S36"/>
  <c r="F41"/>
  <c r="S28"/>
  <c r="M30"/>
  <c r="M41"/>
  <c r="J30"/>
  <c r="J41"/>
  <c r="H30"/>
  <c r="H41"/>
  <c r="S30"/>
  <c r="G30"/>
  <c r="G41"/>
  <c r="S41"/>
</calcChain>
</file>

<file path=xl/comments1.xml><?xml version="1.0" encoding="utf-8"?>
<comments xmlns="http://schemas.openxmlformats.org/spreadsheetml/2006/main">
  <authors>
    <author>Komp</author>
  </authors>
  <commentList>
    <comment ref="K2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
</t>
        </r>
      </text>
    </comment>
    <comment ref="G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H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120%</t>
        </r>
      </text>
    </comment>
    <comment ref="J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0,28</t>
        </r>
      </text>
    </comment>
    <comment ref="G2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H2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90%</t>
        </r>
      </text>
    </comment>
    <comment ref="J2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Komp:
0,28
</t>
        </r>
      </text>
    </comment>
    <comment ref="G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H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60%</t>
        </r>
      </text>
    </comment>
    <comment ref="J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0,31</t>
        </r>
      </text>
    </comment>
    <comment ref="G26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H26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90%</t>
        </r>
      </text>
    </comment>
    <comment ref="J26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Komp:
0,28
</t>
        </r>
      </text>
    </comment>
    <comment ref="G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H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75%</t>
        </r>
      </text>
    </comment>
    <comment ref="J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
</t>
        </r>
      </text>
    </comment>
    <comment ref="M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0,28</t>
        </r>
      </text>
    </comment>
    <comment ref="G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5%</t>
        </r>
      </text>
    </comment>
    <comment ref="H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J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M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0,29</t>
        </r>
      </text>
    </comment>
    <comment ref="L31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1/6 часть от оклада</t>
        </r>
      </text>
    </comment>
    <comment ref="I3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
</t>
        </r>
      </text>
    </comment>
    <comment ref="J3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N3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I3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
</t>
        </r>
      </text>
    </comment>
    <comment ref="J3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N3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I3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
</t>
        </r>
      </text>
    </comment>
    <comment ref="J3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N3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I3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60%</t>
        </r>
      </text>
    </comment>
    <comment ref="J3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N3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
</t>
        </r>
      </text>
    </comment>
    <comment ref="I3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N3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Q3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</t>
        </r>
      </text>
    </comment>
  </commentList>
</comments>
</file>

<file path=xl/comments2.xml><?xml version="1.0" encoding="utf-8"?>
<comments xmlns="http://schemas.openxmlformats.org/spreadsheetml/2006/main">
  <authors>
    <author>Komp</author>
  </authors>
  <commentList>
    <comment ref="K2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
</t>
        </r>
      </text>
    </comment>
    <comment ref="G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H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120%</t>
        </r>
      </text>
    </comment>
    <comment ref="J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0,28</t>
        </r>
      </text>
    </comment>
    <comment ref="G2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H2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90%</t>
        </r>
      </text>
    </comment>
    <comment ref="J2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Komp:
0,28
</t>
        </r>
      </text>
    </comment>
    <comment ref="G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H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60%</t>
        </r>
      </text>
    </comment>
    <comment ref="J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0,31</t>
        </r>
      </text>
    </comment>
    <comment ref="G26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H26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90%</t>
        </r>
      </text>
    </comment>
    <comment ref="J26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M2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Komp:
0,28
</t>
        </r>
      </text>
    </comment>
    <comment ref="G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H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75%</t>
        </r>
      </text>
    </comment>
    <comment ref="J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
</t>
        </r>
      </text>
    </comment>
    <comment ref="M27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0,28</t>
        </r>
      </text>
    </comment>
    <comment ref="G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5%</t>
        </r>
      </text>
    </comment>
    <comment ref="H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J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M2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0,29</t>
        </r>
      </text>
    </comment>
    <comment ref="L31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1/6 часть от оклада</t>
        </r>
      </text>
    </comment>
    <comment ref="I3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
</t>
        </r>
      </text>
    </comment>
    <comment ref="J3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N32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I3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
</t>
        </r>
      </text>
    </comment>
    <comment ref="J3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N33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I3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
</t>
        </r>
      </text>
    </comment>
    <comment ref="J3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</t>
        </r>
      </text>
    </comment>
    <comment ref="N3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I3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60%</t>
        </r>
      </text>
    </comment>
    <comment ref="J3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15%</t>
        </r>
      </text>
    </comment>
    <comment ref="N35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10%
</t>
        </r>
      </text>
    </comment>
    <comment ref="I3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50%</t>
        </r>
      </text>
    </comment>
    <comment ref="N3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30%</t>
        </r>
      </text>
    </comment>
    <comment ref="Q38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100%</t>
        </r>
      </text>
    </comment>
  </commentList>
</comments>
</file>

<file path=xl/sharedStrings.xml><?xml version="1.0" encoding="utf-8"?>
<sst xmlns="http://schemas.openxmlformats.org/spreadsheetml/2006/main" count="133" uniqueCount="70">
  <si>
    <t>Утверждена постановлением Госкомстата</t>
  </si>
  <si>
    <t>Код</t>
  </si>
  <si>
    <t>Форма по ОКУД</t>
  </si>
  <si>
    <t>по ОКПО</t>
  </si>
  <si>
    <t>наименование организации</t>
  </si>
  <si>
    <t>№ документа</t>
  </si>
  <si>
    <t>Дата</t>
  </si>
  <si>
    <t>ШТАТНОЕ РАСПИСАНИЕ</t>
  </si>
  <si>
    <t>УТВЕРЖДЕНО:</t>
  </si>
  <si>
    <t>Количество штатных единиц</t>
  </si>
  <si>
    <t>Примечание</t>
  </si>
  <si>
    <t>наименование</t>
  </si>
  <si>
    <t>код</t>
  </si>
  <si>
    <t>Итого по листу</t>
  </si>
  <si>
    <t>Структурное подразделение</t>
  </si>
  <si>
    <t>Унифицированная форма № Т-3</t>
  </si>
  <si>
    <t>РФ от 05.01.2004  № 1</t>
  </si>
  <si>
    <t xml:space="preserve"> </t>
  </si>
  <si>
    <t>Должность(специальность, профессия), разряд, класс (категория) квалификации</t>
  </si>
  <si>
    <t>Тарифная ставка (оклад) и пр., руб.</t>
  </si>
  <si>
    <t>Надбавки, руб.</t>
  </si>
  <si>
    <t>(личная подпись)</t>
  </si>
  <si>
    <t>_____________________</t>
  </si>
  <si>
    <t>Сектор экономики и финансов</t>
  </si>
  <si>
    <t>Начальник сектора</t>
  </si>
  <si>
    <t>Муниципальные служащие</t>
  </si>
  <si>
    <t>Итого по муниципальным служащим:</t>
  </si>
  <si>
    <t>Технические работники</t>
  </si>
  <si>
    <t>Итого по техническим работникам:</t>
  </si>
  <si>
    <t>Обслуживающий персонал</t>
  </si>
  <si>
    <t>Итого по обслуживающему персоналу</t>
  </si>
  <si>
    <t>Водитель</t>
  </si>
  <si>
    <t>Начальник сектора экономики и финансов</t>
  </si>
  <si>
    <t>ежемесячная квалификационная надбавка</t>
  </si>
  <si>
    <t>надбавка за особые условия муниципальной службы</t>
  </si>
  <si>
    <t>ежемесячная надбавка за выслугу лет</t>
  </si>
  <si>
    <t>ежемесячная надбавка за работу со сведениями, составляющими гос. Тайну</t>
  </si>
  <si>
    <t>материальная помощь (ежемесячно)</t>
  </si>
  <si>
    <t>ежемесячная надбавка за безаварийную эксплуатацию автомобиля</t>
  </si>
  <si>
    <t>ежемесячное денежное поощрение</t>
  </si>
  <si>
    <t>Премия по результатам работы за месяц</t>
  </si>
  <si>
    <t>ежемесячная надбавка за  интенсивность и высокие результаты работы</t>
  </si>
  <si>
    <t>Администрация Маркинского сельского поселения</t>
  </si>
  <si>
    <t>Уборщик служебных помещений</t>
  </si>
  <si>
    <t>Глава Администрации Маркинского с/поселения</t>
  </si>
  <si>
    <t>В.А. Таранова</t>
  </si>
  <si>
    <r>
      <t xml:space="preserve">Штат в количестве </t>
    </r>
    <r>
      <rPr>
        <b/>
        <i/>
        <sz val="10"/>
        <rFont val="Arial Cyr"/>
        <family val="2"/>
        <charset val="204"/>
      </rPr>
      <t xml:space="preserve"> 11,5</t>
    </r>
    <r>
      <rPr>
        <i/>
        <sz val="9"/>
        <rFont val="Arial Cyr"/>
        <family val="2"/>
        <charset val="204"/>
      </rPr>
      <t xml:space="preserve"> единиц</t>
    </r>
  </si>
  <si>
    <t>Приложение № 1</t>
  </si>
  <si>
    <t>Старший инспектор (соц вопр)</t>
  </si>
  <si>
    <t>Старший инспектор (ГО ЧС)</t>
  </si>
  <si>
    <t>Главный специалист-главный бухгалтер</t>
  </si>
  <si>
    <t>Глава Администрации</t>
  </si>
  <si>
    <t>доведение до МРОТ</t>
  </si>
  <si>
    <t>№ п/п</t>
  </si>
  <si>
    <t>Главный специалист (ЖКХ)</t>
  </si>
  <si>
    <t>О.С. Кулягина</t>
  </si>
  <si>
    <t>Ведущий специалист  (бух)</t>
  </si>
  <si>
    <t>Ведущий специалист  (ОК)</t>
  </si>
  <si>
    <t>Старший инспектор (ОК)</t>
  </si>
  <si>
    <t>Инспектор ПВУ</t>
  </si>
  <si>
    <t>Главный специалист (землеустр)</t>
  </si>
  <si>
    <t xml:space="preserve">Всего, руб </t>
  </si>
  <si>
    <t>к постановлению от 14.01.2022г. №  2</t>
  </si>
  <si>
    <t xml:space="preserve">Постановлением № 2  от 14.01.2022г       </t>
  </si>
  <si>
    <t xml:space="preserve">  на период                  с "01" октября 2022 г.</t>
  </si>
  <si>
    <t>В.А. Лебедева</t>
  </si>
  <si>
    <t xml:space="preserve">  на период                  с "01" октября 2023 г.</t>
  </si>
  <si>
    <t>надбавка за классность</t>
  </si>
  <si>
    <t xml:space="preserve">к постановлению от 03.10.2023г. № 86 </t>
  </si>
  <si>
    <t xml:space="preserve">Постановлением №   от.10.2023г       </t>
  </si>
</sst>
</file>

<file path=xl/styles.xml><?xml version="1.0" encoding="utf-8"?>
<styleSheet xmlns="http://schemas.openxmlformats.org/spreadsheetml/2006/main">
  <fonts count="31">
    <font>
      <sz val="10"/>
      <name val="Arial Cyr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b/>
      <i/>
      <sz val="10"/>
      <name val="Arial Cyr"/>
      <family val="2"/>
      <charset val="204"/>
    </font>
    <font>
      <sz val="8"/>
      <name val="Arial Cyr"/>
      <family val="2"/>
      <charset val="204"/>
    </font>
    <font>
      <i/>
      <sz val="7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9"/>
      <name val="Arial Cyr"/>
      <family val="2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10"/>
      <color indexed="10"/>
      <name val="Arial Cyr"/>
      <charset val="204"/>
    </font>
    <font>
      <i/>
      <sz val="10"/>
      <name val="Arial Cyr"/>
      <charset val="204"/>
    </font>
    <font>
      <sz val="7"/>
      <name val="Arial Cyr"/>
      <charset val="204"/>
    </font>
    <font>
      <b/>
      <i/>
      <sz val="6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i/>
      <sz val="10"/>
      <color indexed="10"/>
      <name val="Arial Cyr"/>
      <charset val="204"/>
    </font>
    <font>
      <i/>
      <sz val="9"/>
      <color indexed="10"/>
      <name val="Arial Cyr"/>
      <charset val="204"/>
    </font>
    <font>
      <b/>
      <sz val="6"/>
      <name val="Arial Cyr"/>
      <charset val="204"/>
    </font>
    <font>
      <b/>
      <sz val="10"/>
      <color indexed="10"/>
      <name val="Arial Cyr"/>
      <charset val="204"/>
    </font>
    <font>
      <sz val="10"/>
      <color indexed="12"/>
      <name val="Arial Cyr"/>
      <charset val="204"/>
    </font>
    <font>
      <b/>
      <i/>
      <u/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9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9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13" fillId="0" borderId="0" xfId="0" applyFont="1"/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7" fillId="0" borderId="1" xfId="0" applyFont="1" applyBorder="1" applyAlignment="1">
      <alignment horizontal="center"/>
    </xf>
    <xf numFmtId="0" fontId="1" fillId="0" borderId="0" xfId="0" applyFont="1"/>
    <xf numFmtId="0" fontId="17" fillId="2" borderId="1" xfId="0" applyFont="1" applyFill="1" applyBorder="1" applyAlignment="1">
      <alignment horizontal="center"/>
    </xf>
    <xf numFmtId="0" fontId="19" fillId="0" borderId="0" xfId="0" applyFont="1"/>
    <xf numFmtId="2" fontId="16" fillId="0" borderId="1" xfId="0" applyNumberFormat="1" applyFont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/>
    </xf>
    <xf numFmtId="2" fontId="17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3" fontId="17" fillId="0" borderId="0" xfId="0" applyNumberFormat="1" applyFont="1" applyAlignment="1">
      <alignment horizontal="right"/>
    </xf>
    <xf numFmtId="2" fontId="17" fillId="0" borderId="1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 applyAlignment="1"/>
    <xf numFmtId="0" fontId="7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4" fontId="18" fillId="0" borderId="0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left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/>
    </xf>
    <xf numFmtId="3" fontId="13" fillId="0" borderId="3" xfId="0" applyNumberFormat="1" applyFont="1" applyBorder="1" applyAlignment="1"/>
    <xf numFmtId="0" fontId="26" fillId="0" borderId="0" xfId="0" applyFont="1"/>
    <xf numFmtId="0" fontId="1" fillId="0" borderId="0" xfId="0" applyFont="1" applyBorder="1" applyAlignment="1"/>
    <xf numFmtId="2" fontId="17" fillId="0" borderId="1" xfId="0" applyNumberFormat="1" applyFont="1" applyFill="1" applyBorder="1" applyAlignment="1">
      <alignment horizontal="center" vertical="center"/>
    </xf>
    <xf numFmtId="0" fontId="28" fillId="0" borderId="0" xfId="1" applyAlignment="1" applyProtection="1"/>
    <xf numFmtId="0" fontId="19" fillId="0" borderId="0" xfId="0" applyFont="1" applyAlignment="1">
      <alignment horizontal="center"/>
    </xf>
    <xf numFmtId="0" fontId="17" fillId="0" borderId="1" xfId="0" applyFont="1" applyBorder="1"/>
    <xf numFmtId="0" fontId="2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19" fillId="0" borderId="1" xfId="0" quotePrefix="1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19" fillId="0" borderId="1" xfId="0" quotePrefix="1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8" fillId="0" borderId="2" xfId="0" applyFont="1" applyBorder="1" applyAlignment="1">
      <alignment horizontal="center"/>
    </xf>
    <xf numFmtId="2" fontId="1" fillId="0" borderId="0" xfId="0" applyNumberFormat="1" applyFont="1" applyBorder="1" applyAlignment="1"/>
    <xf numFmtId="0" fontId="1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0" fillId="0" borderId="0" xfId="0" applyNumberFormat="1"/>
    <xf numFmtId="2" fontId="19" fillId="0" borderId="0" xfId="0" applyNumberFormat="1" applyFont="1"/>
    <xf numFmtId="14" fontId="0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2" fontId="19" fillId="3" borderId="1" xfId="0" quotePrefix="1" applyNumberFormat="1" applyFont="1" applyFill="1" applyBorder="1" applyAlignment="1">
      <alignment horizontal="center"/>
    </xf>
    <xf numFmtId="2" fontId="26" fillId="0" borderId="0" xfId="0" applyNumberFormat="1" applyFont="1"/>
    <xf numFmtId="0" fontId="15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9" fillId="0" borderId="8" xfId="0" applyFont="1" applyBorder="1" applyAlignment="1">
      <alignment horizontal="center" vertical="center" wrapText="1"/>
    </xf>
    <xf numFmtId="0" fontId="30" fillId="0" borderId="6" xfId="0" applyFont="1" applyBorder="1"/>
    <xf numFmtId="0" fontId="17" fillId="2" borderId="8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7" fillId="0" borderId="0" xfId="0" applyFont="1" applyAlignment="1"/>
    <xf numFmtId="0" fontId="9" fillId="0" borderId="0" xfId="0" applyFont="1" applyAlignment="1">
      <alignment horizontal="left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5"/>
  <sheetViews>
    <sheetView tabSelected="1" topLeftCell="A7" workbookViewId="0">
      <selection activeCell="D11" sqref="D11"/>
    </sheetView>
  </sheetViews>
  <sheetFormatPr defaultRowHeight="12.75"/>
  <cols>
    <col min="2" max="2" width="10" customWidth="1"/>
    <col min="3" max="3" width="6.85546875" style="10" customWidth="1"/>
    <col min="4" max="4" width="35.7109375" customWidth="1"/>
    <col min="5" max="5" width="10.28515625" customWidth="1"/>
    <col min="6" max="6" width="10.42578125" style="16" customWidth="1"/>
    <col min="7" max="7" width="9.7109375" customWidth="1"/>
    <col min="8" max="12" width="8.85546875" customWidth="1"/>
    <col min="13" max="14" width="9.42578125" customWidth="1"/>
    <col min="15" max="15" width="9.42578125" hidden="1" customWidth="1"/>
    <col min="16" max="16" width="9.42578125" customWidth="1"/>
    <col min="17" max="18" width="9.28515625" customWidth="1"/>
    <col min="19" max="19" width="12.7109375" style="26" customWidth="1"/>
    <col min="20" max="20" width="24.7109375" customWidth="1"/>
  </cols>
  <sheetData>
    <row r="1" spans="2:20">
      <c r="T1" t="s">
        <v>47</v>
      </c>
    </row>
    <row r="2" spans="2:20">
      <c r="S2" s="95" t="s">
        <v>68</v>
      </c>
      <c r="T2" s="96"/>
    </row>
    <row r="3" spans="2:20">
      <c r="S3" s="120" t="s">
        <v>15</v>
      </c>
      <c r="T3" s="120"/>
    </row>
    <row r="4" spans="2:20">
      <c r="S4" s="24" t="s">
        <v>0</v>
      </c>
      <c r="T4" s="1"/>
    </row>
    <row r="5" spans="2:20">
      <c r="S5" s="24" t="s">
        <v>16</v>
      </c>
      <c r="T5" s="1"/>
    </row>
    <row r="6" spans="2:20">
      <c r="B6" s="121" t="s">
        <v>42</v>
      </c>
      <c r="C6" s="121"/>
      <c r="D6" s="121"/>
      <c r="E6" s="121"/>
      <c r="M6" s="2"/>
      <c r="N6" s="2"/>
      <c r="O6" s="2"/>
      <c r="P6" s="2"/>
      <c r="Q6" s="2"/>
      <c r="R6" s="2"/>
      <c r="S6" s="24"/>
      <c r="T6" s="3" t="s">
        <v>1</v>
      </c>
    </row>
    <row r="7" spans="2:20">
      <c r="B7" s="121"/>
      <c r="C7" s="121"/>
      <c r="D7" s="121"/>
      <c r="E7" s="121"/>
      <c r="S7" s="30" t="s">
        <v>2</v>
      </c>
      <c r="T7" s="3">
        <v>301017</v>
      </c>
    </row>
    <row r="8" spans="2:20">
      <c r="B8" s="13"/>
      <c r="C8" s="17"/>
      <c r="D8" s="4" t="s">
        <v>4</v>
      </c>
      <c r="E8" s="13"/>
      <c r="F8" s="4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30" t="s">
        <v>3</v>
      </c>
      <c r="T8" s="3">
        <v>462524436</v>
      </c>
    </row>
    <row r="9" spans="2:20">
      <c r="B9" s="13"/>
      <c r="C9" s="17"/>
      <c r="D9" s="4"/>
      <c r="E9" s="13"/>
      <c r="F9" s="4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30"/>
      <c r="T9" s="15"/>
    </row>
    <row r="10" spans="2:20">
      <c r="E10" s="5" t="s">
        <v>5</v>
      </c>
      <c r="F10" s="75" t="s">
        <v>6</v>
      </c>
      <c r="S10" s="24"/>
    </row>
    <row r="11" spans="2:20" ht="15.75">
      <c r="D11" s="6" t="s">
        <v>7</v>
      </c>
      <c r="E11" s="7">
        <v>2</v>
      </c>
      <c r="F11" s="78"/>
      <c r="G11" s="114" t="s">
        <v>8</v>
      </c>
      <c r="H11" s="114"/>
      <c r="I11" s="114"/>
      <c r="J11" s="114"/>
      <c r="K11" s="114"/>
      <c r="L11" s="114"/>
      <c r="M11" s="114"/>
      <c r="N11" s="38"/>
      <c r="O11" s="38"/>
      <c r="P11" s="38"/>
      <c r="Q11" s="38"/>
      <c r="R11" s="38"/>
      <c r="S11" s="24"/>
    </row>
    <row r="12" spans="2:20">
      <c r="C12" s="10" t="s">
        <v>17</v>
      </c>
      <c r="D12" s="85" t="s">
        <v>66</v>
      </c>
      <c r="E12" s="85"/>
      <c r="F12" s="48"/>
      <c r="G12" s="84" t="s">
        <v>69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39"/>
      <c r="S12" s="42"/>
      <c r="T12" s="43"/>
    </row>
    <row r="13" spans="2:20">
      <c r="G13" s="122"/>
      <c r="H13" s="122"/>
      <c r="I13" s="122"/>
      <c r="J13" s="122"/>
      <c r="K13" s="122"/>
      <c r="L13" s="122"/>
      <c r="M13" s="122"/>
      <c r="N13" s="14"/>
      <c r="O13" s="14"/>
      <c r="P13" s="14"/>
      <c r="Q13" s="14"/>
      <c r="R13" s="14"/>
      <c r="S13" s="31"/>
    </row>
    <row r="14" spans="2:20">
      <c r="G14" s="84" t="s">
        <v>46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39"/>
      <c r="S14" s="31"/>
    </row>
    <row r="15" spans="2:20"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31"/>
    </row>
    <row r="16" spans="2:20">
      <c r="F16" s="84"/>
      <c r="G16" s="84"/>
      <c r="H16" s="84"/>
      <c r="I16" s="84"/>
      <c r="J16" s="84"/>
      <c r="K16" s="84"/>
      <c r="L16" s="84"/>
      <c r="M16" s="84"/>
      <c r="N16" s="39"/>
      <c r="O16" s="39"/>
      <c r="P16" s="39"/>
      <c r="Q16" s="39"/>
      <c r="R16" s="39"/>
      <c r="S16" s="32"/>
    </row>
    <row r="18" spans="1:22" ht="24" customHeight="1">
      <c r="A18" s="115" t="s">
        <v>53</v>
      </c>
      <c r="B18" s="98" t="s">
        <v>14</v>
      </c>
      <c r="C18" s="99"/>
      <c r="D18" s="87" t="s">
        <v>18</v>
      </c>
      <c r="E18" s="87" t="s">
        <v>9</v>
      </c>
      <c r="F18" s="87" t="s">
        <v>19</v>
      </c>
      <c r="G18" s="92" t="s">
        <v>20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4"/>
      <c r="S18" s="88" t="s">
        <v>61</v>
      </c>
      <c r="T18" s="87" t="s">
        <v>10</v>
      </c>
      <c r="U18" s="8"/>
    </row>
    <row r="19" spans="1:22" ht="57" customHeight="1">
      <c r="A19" s="116"/>
      <c r="B19" s="57" t="s">
        <v>11</v>
      </c>
      <c r="C19" s="57" t="s">
        <v>12</v>
      </c>
      <c r="D19" s="87"/>
      <c r="E19" s="87"/>
      <c r="F19" s="87"/>
      <c r="G19" s="58" t="s">
        <v>33</v>
      </c>
      <c r="H19" s="58" t="s">
        <v>34</v>
      </c>
      <c r="I19" s="58" t="s">
        <v>41</v>
      </c>
      <c r="J19" s="58" t="s">
        <v>35</v>
      </c>
      <c r="K19" s="58" t="s">
        <v>36</v>
      </c>
      <c r="L19" s="58" t="s">
        <v>37</v>
      </c>
      <c r="M19" s="58" t="s">
        <v>39</v>
      </c>
      <c r="N19" s="58" t="s">
        <v>40</v>
      </c>
      <c r="O19" s="26"/>
      <c r="P19" s="83" t="s">
        <v>52</v>
      </c>
      <c r="Q19" s="58" t="s">
        <v>38</v>
      </c>
      <c r="R19" s="58" t="s">
        <v>67</v>
      </c>
      <c r="S19" s="89"/>
      <c r="T19" s="87"/>
      <c r="U19" s="8"/>
    </row>
    <row r="20" spans="1:22" s="46" customFormat="1" ht="12" customHeight="1">
      <c r="A20" s="44">
        <v>1</v>
      </c>
      <c r="B20" s="44">
        <v>2</v>
      </c>
      <c r="C20" s="44">
        <v>3</v>
      </c>
      <c r="D20" s="44">
        <v>4</v>
      </c>
      <c r="E20" s="44">
        <v>5</v>
      </c>
      <c r="F20" s="44">
        <v>6</v>
      </c>
      <c r="G20" s="44">
        <v>7</v>
      </c>
      <c r="H20" s="44">
        <v>8</v>
      </c>
      <c r="I20" s="44">
        <v>9</v>
      </c>
      <c r="J20" s="44">
        <v>10</v>
      </c>
      <c r="K20" s="44">
        <v>11</v>
      </c>
      <c r="L20" s="44">
        <v>12</v>
      </c>
      <c r="M20" s="44">
        <v>13</v>
      </c>
      <c r="N20" s="44">
        <v>14</v>
      </c>
      <c r="O20" s="44">
        <v>14</v>
      </c>
      <c r="P20" s="44">
        <v>15</v>
      </c>
      <c r="Q20" s="44">
        <v>16</v>
      </c>
      <c r="R20" s="44"/>
      <c r="S20" s="44">
        <v>17</v>
      </c>
      <c r="T20" s="44">
        <v>18</v>
      </c>
      <c r="U20" s="45"/>
    </row>
    <row r="21" spans="1:22" s="22" customFormat="1">
      <c r="A21" s="56"/>
      <c r="B21" s="106" t="s">
        <v>25</v>
      </c>
      <c r="C21" s="107"/>
      <c r="D21" s="108"/>
      <c r="E21" s="20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33"/>
      <c r="T21" s="20"/>
      <c r="U21" s="21"/>
    </row>
    <row r="22" spans="1:22">
      <c r="A22" s="60">
        <v>1</v>
      </c>
      <c r="B22" s="61"/>
      <c r="C22" s="62"/>
      <c r="D22" s="60" t="s">
        <v>51</v>
      </c>
      <c r="E22" s="63">
        <v>1</v>
      </c>
      <c r="F22" s="64">
        <v>16060</v>
      </c>
      <c r="G22" s="65">
        <f t="shared" ref="G22:G28" si="0">F22*50%</f>
        <v>8030</v>
      </c>
      <c r="H22" s="65">
        <f>F22*200%</f>
        <v>32120</v>
      </c>
      <c r="I22" s="65"/>
      <c r="J22" s="65">
        <f>F22*15%</f>
        <v>2409</v>
      </c>
      <c r="K22" s="65">
        <f>F22*15%</f>
        <v>2409</v>
      </c>
      <c r="L22" s="65"/>
      <c r="M22" s="65">
        <f>F22*0.31</f>
        <v>4978.6000000000004</v>
      </c>
      <c r="N22" s="60"/>
      <c r="O22" s="65"/>
      <c r="P22" s="65"/>
      <c r="Q22" s="65"/>
      <c r="R22" s="65"/>
      <c r="S22" s="53">
        <f>SUM(F22:Q22)</f>
        <v>66006.600000000006</v>
      </c>
      <c r="T22" s="63"/>
    </row>
    <row r="23" spans="1:22" ht="17.25" customHeight="1">
      <c r="A23" s="60">
        <v>2</v>
      </c>
      <c r="B23" s="112" t="s">
        <v>23</v>
      </c>
      <c r="C23" s="62"/>
      <c r="D23" s="60" t="s">
        <v>24</v>
      </c>
      <c r="E23" s="63">
        <v>1</v>
      </c>
      <c r="F23" s="64">
        <v>12206</v>
      </c>
      <c r="G23" s="65">
        <f t="shared" si="0"/>
        <v>6103</v>
      </c>
      <c r="H23" s="65">
        <f>F23*120%</f>
        <v>14647.199999999999</v>
      </c>
      <c r="I23" s="65"/>
      <c r="J23" s="65">
        <f>F23*30%</f>
        <v>3661.7999999999997</v>
      </c>
      <c r="K23" s="65"/>
      <c r="L23" s="65"/>
      <c r="M23" s="65">
        <f>F23*0.56</f>
        <v>6835.3600000000006</v>
      </c>
      <c r="N23" s="60"/>
      <c r="O23" s="65"/>
      <c r="P23" s="65"/>
      <c r="Q23" s="65"/>
      <c r="R23" s="65"/>
      <c r="S23" s="53">
        <f t="shared" ref="S23:S28" si="1">SUM(F23:Q23)</f>
        <v>43453.36</v>
      </c>
      <c r="T23" s="63"/>
      <c r="U23" s="79"/>
    </row>
    <row r="24" spans="1:22" ht="19.5" customHeight="1">
      <c r="A24" s="60">
        <v>3</v>
      </c>
      <c r="B24" s="113"/>
      <c r="C24" s="62"/>
      <c r="D24" s="60" t="s">
        <v>50</v>
      </c>
      <c r="E24" s="63">
        <v>1</v>
      </c>
      <c r="F24" s="64">
        <v>10278</v>
      </c>
      <c r="G24" s="65">
        <f t="shared" si="0"/>
        <v>5139</v>
      </c>
      <c r="H24" s="65">
        <f>F24*90%</f>
        <v>9250.2000000000007</v>
      </c>
      <c r="I24" s="65"/>
      <c r="J24" s="65">
        <f>F24*30%</f>
        <v>3083.4</v>
      </c>
      <c r="K24" s="65"/>
      <c r="L24" s="65"/>
      <c r="M24" s="65">
        <f>F24*0.54</f>
        <v>5550.1200000000008</v>
      </c>
      <c r="N24" s="60"/>
      <c r="O24" s="65"/>
      <c r="P24" s="65"/>
      <c r="Q24" s="65"/>
      <c r="R24" s="65"/>
      <c r="S24" s="53">
        <f t="shared" si="1"/>
        <v>33300.720000000001</v>
      </c>
      <c r="T24" s="63"/>
      <c r="U24" s="79"/>
    </row>
    <row r="25" spans="1:22" s="16" customFormat="1" ht="18" customHeight="1">
      <c r="A25" s="60">
        <v>4</v>
      </c>
      <c r="B25" s="89"/>
      <c r="C25" s="62"/>
      <c r="D25" s="60" t="s">
        <v>56</v>
      </c>
      <c r="E25" s="63">
        <v>1</v>
      </c>
      <c r="F25" s="64">
        <v>9717</v>
      </c>
      <c r="G25" s="65">
        <f t="shared" si="0"/>
        <v>4858.5</v>
      </c>
      <c r="H25" s="65">
        <f>F25*90%</f>
        <v>8745.3000000000011</v>
      </c>
      <c r="I25" s="65"/>
      <c r="J25" s="65">
        <f>F25*30%</f>
        <v>2915.1</v>
      </c>
      <c r="K25" s="65"/>
      <c r="L25" s="65"/>
      <c r="M25" s="65">
        <f>F25*0.56</f>
        <v>5441.52</v>
      </c>
      <c r="N25" s="60"/>
      <c r="O25" s="65"/>
      <c r="P25" s="65"/>
      <c r="Q25" s="65"/>
      <c r="R25" s="65"/>
      <c r="S25" s="53">
        <f t="shared" si="1"/>
        <v>31677.420000000002</v>
      </c>
      <c r="T25" s="63"/>
    </row>
    <row r="26" spans="1:22" s="16" customFormat="1" ht="18" customHeight="1">
      <c r="A26" s="60">
        <v>5</v>
      </c>
      <c r="B26" s="74"/>
      <c r="C26" s="62"/>
      <c r="D26" s="60" t="s">
        <v>54</v>
      </c>
      <c r="E26" s="63">
        <v>1</v>
      </c>
      <c r="F26" s="64">
        <v>10278</v>
      </c>
      <c r="G26" s="65">
        <f t="shared" si="0"/>
        <v>5139</v>
      </c>
      <c r="H26" s="65">
        <f>F26*90%</f>
        <v>9250.2000000000007</v>
      </c>
      <c r="I26" s="65"/>
      <c r="J26" s="65">
        <f>F26*30%</f>
        <v>3083.4</v>
      </c>
      <c r="K26" s="65"/>
      <c r="L26" s="65"/>
      <c r="M26" s="65">
        <f>F26*0.54</f>
        <v>5550.1200000000008</v>
      </c>
      <c r="N26" s="60"/>
      <c r="O26" s="65"/>
      <c r="P26" s="65"/>
      <c r="Q26" s="65"/>
      <c r="R26" s="65"/>
      <c r="S26" s="53">
        <f>SUM(F26:Q26)</f>
        <v>33300.720000000001</v>
      </c>
      <c r="T26" s="64"/>
    </row>
    <row r="27" spans="1:22" s="16" customFormat="1">
      <c r="A27" s="60">
        <v>6</v>
      </c>
      <c r="B27" s="61"/>
      <c r="C27" s="62"/>
      <c r="D27" s="60" t="s">
        <v>60</v>
      </c>
      <c r="E27" s="63">
        <v>1</v>
      </c>
      <c r="F27" s="64">
        <v>10278</v>
      </c>
      <c r="G27" s="65">
        <f t="shared" si="0"/>
        <v>5139</v>
      </c>
      <c r="H27" s="65">
        <f>F27*90%</f>
        <v>9250.2000000000007</v>
      </c>
      <c r="I27" s="65"/>
      <c r="J27" s="81">
        <f>F27*20%</f>
        <v>2055.6</v>
      </c>
      <c r="K27" s="65"/>
      <c r="L27" s="65"/>
      <c r="M27" s="65">
        <f>F27*0.54</f>
        <v>5550.1200000000008</v>
      </c>
      <c r="N27" s="60"/>
      <c r="O27" s="65"/>
      <c r="P27" s="65"/>
      <c r="Q27" s="65"/>
      <c r="R27" s="65"/>
      <c r="S27" s="53">
        <f t="shared" si="1"/>
        <v>32272.92</v>
      </c>
      <c r="T27" s="63"/>
    </row>
    <row r="28" spans="1:22" s="16" customFormat="1">
      <c r="A28" s="60">
        <v>7</v>
      </c>
      <c r="B28" s="61"/>
      <c r="C28" s="62"/>
      <c r="D28" s="60" t="s">
        <v>57</v>
      </c>
      <c r="E28" s="63">
        <v>0.5</v>
      </c>
      <c r="F28" s="64">
        <v>4859</v>
      </c>
      <c r="G28" s="65">
        <f t="shared" si="0"/>
        <v>2429.5</v>
      </c>
      <c r="H28" s="65">
        <f>F28*90%</f>
        <v>4373.1000000000004</v>
      </c>
      <c r="I28" s="65"/>
      <c r="J28" s="65">
        <f>F28*15%</f>
        <v>728.85</v>
      </c>
      <c r="K28" s="65"/>
      <c r="L28" s="65"/>
      <c r="M28" s="65">
        <f>F28*0.56</f>
        <v>2721.0400000000004</v>
      </c>
      <c r="N28" s="60"/>
      <c r="O28" s="65"/>
      <c r="P28" s="65"/>
      <c r="Q28" s="65"/>
      <c r="R28" s="65"/>
      <c r="S28" s="53">
        <f t="shared" si="1"/>
        <v>15111.490000000002</v>
      </c>
      <c r="T28" s="63"/>
    </row>
    <row r="29" spans="1:22" s="16" customFormat="1" hidden="1">
      <c r="A29" s="60"/>
      <c r="B29" s="61"/>
      <c r="C29" s="62"/>
      <c r="D29" s="60"/>
      <c r="E29" s="63"/>
      <c r="F29" s="64"/>
      <c r="G29" s="65"/>
      <c r="H29" s="65"/>
      <c r="I29" s="65"/>
      <c r="J29" s="65"/>
      <c r="K29" s="65"/>
      <c r="L29" s="65"/>
      <c r="M29" s="65"/>
      <c r="N29" s="60"/>
      <c r="O29" s="65"/>
      <c r="P29" s="65"/>
      <c r="Q29" s="65"/>
      <c r="R29" s="65"/>
      <c r="S29" s="33"/>
      <c r="T29" s="63"/>
    </row>
    <row r="30" spans="1:22" s="22" customFormat="1">
      <c r="A30" s="56"/>
      <c r="B30" s="109" t="s">
        <v>26</v>
      </c>
      <c r="C30" s="110"/>
      <c r="D30" s="111"/>
      <c r="E30" s="25">
        <f>E22+E23+E24+E25+E27+E28+E29+E26</f>
        <v>6.5</v>
      </c>
      <c r="F30" s="28">
        <f>SUM(F22:F29)</f>
        <v>73676</v>
      </c>
      <c r="G30" s="28">
        <f>SUM(G22:G29)</f>
        <v>36838</v>
      </c>
      <c r="H30" s="28">
        <f>SUM(H22:H29)</f>
        <v>87636.2</v>
      </c>
      <c r="I30" s="28"/>
      <c r="J30" s="28">
        <f t="shared" ref="J30:O30" si="2">SUM(J22:J29)</f>
        <v>17937.149999999998</v>
      </c>
      <c r="K30" s="28">
        <f t="shared" si="2"/>
        <v>2409</v>
      </c>
      <c r="L30" s="28">
        <f t="shared" si="2"/>
        <v>0</v>
      </c>
      <c r="M30" s="28">
        <f t="shared" si="2"/>
        <v>36626.880000000005</v>
      </c>
      <c r="N30" s="28">
        <f t="shared" si="2"/>
        <v>0</v>
      </c>
      <c r="O30" s="28">
        <f t="shared" si="2"/>
        <v>0</v>
      </c>
      <c r="P30" s="28"/>
      <c r="Q30" s="28"/>
      <c r="R30" s="28"/>
      <c r="S30" s="28">
        <f>SUM(S22:S29)</f>
        <v>255123.22999999998</v>
      </c>
      <c r="T30" s="25"/>
    </row>
    <row r="31" spans="1:22" s="22" customFormat="1" ht="12.75" customHeight="1">
      <c r="A31" s="56"/>
      <c r="B31" s="103" t="s">
        <v>27</v>
      </c>
      <c r="C31" s="104"/>
      <c r="D31" s="105"/>
      <c r="E31" s="23"/>
      <c r="F31" s="66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3"/>
      <c r="T31" s="23"/>
    </row>
    <row r="32" spans="1:22" s="51" customFormat="1">
      <c r="A32" s="60">
        <v>8</v>
      </c>
      <c r="B32" s="61"/>
      <c r="C32" s="62"/>
      <c r="D32" s="60" t="s">
        <v>48</v>
      </c>
      <c r="E32" s="63">
        <v>1</v>
      </c>
      <c r="F32" s="64">
        <v>6433</v>
      </c>
      <c r="G32" s="65"/>
      <c r="H32" s="65"/>
      <c r="I32" s="67">
        <f>F32*200%</f>
        <v>12866</v>
      </c>
      <c r="J32" s="67">
        <f>F32*20%</f>
        <v>1286.6000000000001</v>
      </c>
      <c r="K32" s="67"/>
      <c r="L32" s="67">
        <f>F32/6</f>
        <v>1072.1666666666667</v>
      </c>
      <c r="M32" s="67"/>
      <c r="N32" s="67">
        <f>F32*50%</f>
        <v>3216.5</v>
      </c>
      <c r="O32" s="67"/>
      <c r="P32" s="67"/>
      <c r="Q32" s="67"/>
      <c r="R32" s="67"/>
      <c r="S32" s="33">
        <f>SUM(F32:Q32)*E32</f>
        <v>24874.266666666666</v>
      </c>
      <c r="T32" s="33"/>
      <c r="V32" s="82"/>
    </row>
    <row r="33" spans="1:22" s="51" customFormat="1">
      <c r="A33" s="60">
        <v>9</v>
      </c>
      <c r="B33" s="61"/>
      <c r="C33" s="62"/>
      <c r="D33" s="60" t="s">
        <v>49</v>
      </c>
      <c r="E33" s="63">
        <v>1</v>
      </c>
      <c r="F33" s="64">
        <v>6433</v>
      </c>
      <c r="G33" s="65"/>
      <c r="H33" s="65"/>
      <c r="I33" s="67">
        <f>F33*200%</f>
        <v>12866</v>
      </c>
      <c r="J33" s="67">
        <f>F33*10%</f>
        <v>643.30000000000007</v>
      </c>
      <c r="K33" s="67"/>
      <c r="L33" s="67">
        <f>F33/6</f>
        <v>1072.1666666666667</v>
      </c>
      <c r="M33" s="67"/>
      <c r="N33" s="67">
        <f>F33*50%</f>
        <v>3216.5</v>
      </c>
      <c r="O33" s="67"/>
      <c r="P33" s="67"/>
      <c r="Q33" s="67"/>
      <c r="R33" s="67"/>
      <c r="S33" s="53">
        <f>SUM(F33:Q33)*E33</f>
        <v>24230.966666666667</v>
      </c>
      <c r="T33" s="53"/>
      <c r="V33" s="82"/>
    </row>
    <row r="34" spans="1:22" s="51" customFormat="1">
      <c r="A34" s="60">
        <v>10</v>
      </c>
      <c r="B34" s="61"/>
      <c r="C34" s="62"/>
      <c r="D34" s="60" t="s">
        <v>58</v>
      </c>
      <c r="E34" s="63">
        <v>0.5</v>
      </c>
      <c r="F34" s="64">
        <v>3217</v>
      </c>
      <c r="G34" s="65"/>
      <c r="H34" s="65"/>
      <c r="I34" s="67">
        <f>F34*200%</f>
        <v>6434</v>
      </c>
      <c r="J34" s="67">
        <f>F34*15%</f>
        <v>482.54999999999995</v>
      </c>
      <c r="K34" s="67"/>
      <c r="L34" s="67">
        <f>F34/6</f>
        <v>536.16666666666663</v>
      </c>
      <c r="M34" s="67"/>
      <c r="N34" s="67">
        <f>F34*50%</f>
        <v>1608.5</v>
      </c>
      <c r="O34" s="67"/>
      <c r="P34" s="67"/>
      <c r="Q34" s="67"/>
      <c r="R34" s="67"/>
      <c r="S34" s="53">
        <f>F34+I34+J34+L34+N34</f>
        <v>12278.216666666665</v>
      </c>
      <c r="T34" s="53"/>
      <c r="V34" s="82"/>
    </row>
    <row r="35" spans="1:22" s="24" customFormat="1">
      <c r="A35" s="60">
        <v>11</v>
      </c>
      <c r="B35" s="61"/>
      <c r="C35" s="62"/>
      <c r="D35" s="60" t="s">
        <v>59</v>
      </c>
      <c r="E35" s="63">
        <v>1</v>
      </c>
      <c r="F35" s="64">
        <v>6125</v>
      </c>
      <c r="G35" s="65"/>
      <c r="H35" s="65"/>
      <c r="I35" s="67">
        <f>F35*140%</f>
        <v>8575</v>
      </c>
      <c r="J35" s="67">
        <f>F35*15%</f>
        <v>918.75</v>
      </c>
      <c r="K35" s="67"/>
      <c r="L35" s="67">
        <f>F35/6</f>
        <v>1020.8333333333334</v>
      </c>
      <c r="M35" s="67"/>
      <c r="N35" s="67">
        <f>F35*25%</f>
        <v>1531.25</v>
      </c>
      <c r="O35" s="67"/>
      <c r="P35" s="67"/>
      <c r="Q35" s="67"/>
      <c r="R35" s="67"/>
      <c r="S35" s="53">
        <f>SUM(F35:Q35)</f>
        <v>18170.833333333332</v>
      </c>
      <c r="T35" s="53"/>
      <c r="U35" s="51"/>
      <c r="V35" s="82"/>
    </row>
    <row r="36" spans="1:22" s="22" customFormat="1">
      <c r="A36" s="56"/>
      <c r="B36" s="109" t="s">
        <v>28</v>
      </c>
      <c r="C36" s="110"/>
      <c r="D36" s="111"/>
      <c r="E36" s="25">
        <f>SUM(E32:E35)</f>
        <v>3.5</v>
      </c>
      <c r="F36" s="25">
        <f>SUM(F32:F35)</f>
        <v>22208</v>
      </c>
      <c r="G36" s="25"/>
      <c r="H36" s="25"/>
      <c r="I36" s="25">
        <f>SUM(I32:I35)</f>
        <v>40741</v>
      </c>
      <c r="J36" s="25">
        <f>SUM(J32:J35)</f>
        <v>3331.2</v>
      </c>
      <c r="K36" s="25"/>
      <c r="L36" s="25">
        <f>SUM(L32:L35)</f>
        <v>3701.3333333333335</v>
      </c>
      <c r="M36" s="25"/>
      <c r="N36" s="25">
        <f>SUM(N32:N35)</f>
        <v>9572.75</v>
      </c>
      <c r="O36" s="25">
        <f>SUM(O32:O35)</f>
        <v>0</v>
      </c>
      <c r="P36" s="28">
        <f>P35</f>
        <v>0</v>
      </c>
      <c r="Q36" s="25"/>
      <c r="R36" s="25"/>
      <c r="S36" s="28">
        <f>SUM(S32:S35)</f>
        <v>79554.28333333334</v>
      </c>
      <c r="T36" s="25"/>
      <c r="V36" s="82"/>
    </row>
    <row r="37" spans="1:22" s="22" customFormat="1">
      <c r="A37" s="56"/>
      <c r="B37" s="117" t="s">
        <v>29</v>
      </c>
      <c r="C37" s="118"/>
      <c r="D37" s="119"/>
      <c r="E37" s="23"/>
      <c r="F37" s="66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3"/>
      <c r="T37" s="23"/>
      <c r="V37" s="82"/>
    </row>
    <row r="38" spans="1:22" s="16" customFormat="1">
      <c r="A38" s="60">
        <v>12</v>
      </c>
      <c r="B38" s="68"/>
      <c r="C38" s="68"/>
      <c r="D38" s="68" t="s">
        <v>31</v>
      </c>
      <c r="E38" s="63">
        <v>1</v>
      </c>
      <c r="F38" s="64">
        <v>5753</v>
      </c>
      <c r="G38" s="65"/>
      <c r="H38" s="65"/>
      <c r="I38" s="67">
        <f>F38*50%</f>
        <v>2876.5</v>
      </c>
      <c r="J38" s="67"/>
      <c r="K38" s="67"/>
      <c r="L38" s="67"/>
      <c r="M38" s="67"/>
      <c r="N38" s="67">
        <f>F38*50%</f>
        <v>2876.5</v>
      </c>
      <c r="O38" s="67"/>
      <c r="P38" s="67"/>
      <c r="Q38" s="67">
        <f>F38</f>
        <v>5753</v>
      </c>
      <c r="R38" s="67">
        <f>F38*25%</f>
        <v>1438.25</v>
      </c>
      <c r="S38" s="53">
        <f>SUM(F38:R38)</f>
        <v>18697.25</v>
      </c>
      <c r="T38" s="63"/>
      <c r="V38" s="82"/>
    </row>
    <row r="39" spans="1:22" s="16" customFormat="1">
      <c r="A39" s="60">
        <v>13</v>
      </c>
      <c r="B39" s="68"/>
      <c r="C39" s="68"/>
      <c r="D39" s="68" t="s">
        <v>43</v>
      </c>
      <c r="E39" s="69">
        <v>0.5</v>
      </c>
      <c r="F39" s="63">
        <v>2288</v>
      </c>
      <c r="G39" s="65"/>
      <c r="H39" s="65"/>
      <c r="I39" s="67">
        <f>F39*50%</f>
        <v>1144</v>
      </c>
      <c r="J39" s="67"/>
      <c r="K39" s="67"/>
      <c r="L39" s="67"/>
      <c r="M39" s="67"/>
      <c r="N39" s="67">
        <f>F39*25%</f>
        <v>572</v>
      </c>
      <c r="O39" s="67"/>
      <c r="P39" s="67">
        <v>4117</v>
      </c>
      <c r="Q39" s="67"/>
      <c r="R39" s="67"/>
      <c r="S39" s="33">
        <f>SUM(F39:Q39)</f>
        <v>8121</v>
      </c>
      <c r="T39" s="63"/>
      <c r="V39" s="82"/>
    </row>
    <row r="40" spans="1:22" s="22" customFormat="1" ht="12.75" customHeight="1">
      <c r="A40" s="56"/>
      <c r="B40" s="100" t="s">
        <v>30</v>
      </c>
      <c r="C40" s="101"/>
      <c r="D40" s="102"/>
      <c r="E40" s="25">
        <f>E38+E39</f>
        <v>1.5</v>
      </c>
      <c r="F40" s="28">
        <f>F38+F39</f>
        <v>8041</v>
      </c>
      <c r="G40" s="28"/>
      <c r="H40" s="28"/>
      <c r="I40" s="28">
        <f>I38+I39</f>
        <v>4020.5</v>
      </c>
      <c r="J40" s="28"/>
      <c r="K40" s="28"/>
      <c r="L40" s="28"/>
      <c r="M40" s="28"/>
      <c r="N40" s="28">
        <f>N38+N39</f>
        <v>3448.5</v>
      </c>
      <c r="O40" s="28">
        <f>O38+O39</f>
        <v>0</v>
      </c>
      <c r="P40" s="28">
        <f>P38+P39</f>
        <v>4117</v>
      </c>
      <c r="Q40" s="28">
        <f>Q38</f>
        <v>5753</v>
      </c>
      <c r="R40" s="28"/>
      <c r="S40" s="28">
        <f>S38+S39</f>
        <v>26818.25</v>
      </c>
      <c r="T40" s="25"/>
      <c r="V40" s="82"/>
    </row>
    <row r="41" spans="1:22">
      <c r="A41" s="26"/>
      <c r="B41" s="26"/>
      <c r="C41" s="55"/>
      <c r="D41" s="71" t="s">
        <v>13</v>
      </c>
      <c r="E41" s="72">
        <f>E30+E36+E40</f>
        <v>11.5</v>
      </c>
      <c r="F41" s="34">
        <f>F30+F36+F40</f>
        <v>103925</v>
      </c>
      <c r="G41" s="34">
        <f>G30</f>
        <v>36838</v>
      </c>
      <c r="H41" s="34">
        <f t="shared" ref="H41:N41" si="3">H30+H36+H40</f>
        <v>87636.2</v>
      </c>
      <c r="I41" s="34">
        <f t="shared" si="3"/>
        <v>44761.5</v>
      </c>
      <c r="J41" s="34">
        <f t="shared" si="3"/>
        <v>21268.35</v>
      </c>
      <c r="K41" s="34">
        <f t="shared" si="3"/>
        <v>2409</v>
      </c>
      <c r="L41" s="34">
        <f t="shared" si="3"/>
        <v>3701.3333333333335</v>
      </c>
      <c r="M41" s="34">
        <f t="shared" si="3"/>
        <v>36626.880000000005</v>
      </c>
      <c r="N41" s="34">
        <f t="shared" si="3"/>
        <v>13021.25</v>
      </c>
      <c r="O41" s="34">
        <f>O30+O36+O40</f>
        <v>0</v>
      </c>
      <c r="P41" s="34">
        <f>P30+P36+P40</f>
        <v>4117</v>
      </c>
      <c r="Q41" s="34">
        <f>Q30+Q36+Q40</f>
        <v>5753</v>
      </c>
      <c r="R41" s="34"/>
      <c r="S41" s="34">
        <f>S40+S36+S30</f>
        <v>361495.76333333331</v>
      </c>
      <c r="T41" s="63"/>
      <c r="V41" s="82"/>
    </row>
    <row r="42" spans="1:22">
      <c r="D42" s="9"/>
      <c r="E42" s="11"/>
      <c r="F42" s="49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40"/>
      <c r="T42" s="10"/>
    </row>
    <row r="43" spans="1:22">
      <c r="D43" s="9"/>
      <c r="E43" s="11"/>
      <c r="F43" s="49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40"/>
      <c r="T43" s="10"/>
    </row>
    <row r="44" spans="1:22" s="24" customFormat="1">
      <c r="C44" s="35" t="s">
        <v>44</v>
      </c>
      <c r="D44" s="35"/>
      <c r="E44" s="36"/>
      <c r="F44" s="50"/>
      <c r="G44" s="37"/>
      <c r="H44" s="52"/>
      <c r="I44" s="52"/>
      <c r="J44" s="52"/>
      <c r="K44" s="97" t="s">
        <v>55</v>
      </c>
      <c r="L44" s="97"/>
      <c r="M44" s="52"/>
      <c r="N44" s="52"/>
      <c r="O44" s="52"/>
      <c r="P44" s="52"/>
      <c r="Q44" s="52"/>
      <c r="R44" s="52"/>
      <c r="S44" s="73"/>
      <c r="T44" s="41"/>
    </row>
    <row r="45" spans="1:22">
      <c r="D45" s="18"/>
      <c r="E45" s="91" t="s">
        <v>21</v>
      </c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19"/>
      <c r="U45" s="19"/>
    </row>
    <row r="46" spans="1:22">
      <c r="B46" s="12"/>
      <c r="C46" t="s">
        <v>32</v>
      </c>
      <c r="E46" s="86" t="s">
        <v>22</v>
      </c>
      <c r="F46" s="86"/>
      <c r="G46" s="86"/>
      <c r="K46" s="86" t="s">
        <v>65</v>
      </c>
      <c r="L46" s="86"/>
      <c r="M46" s="90"/>
      <c r="N46" s="90"/>
      <c r="O46" s="90"/>
      <c r="P46" s="90"/>
      <c r="Q46" s="90"/>
      <c r="R46" s="90"/>
      <c r="S46" s="90"/>
      <c r="T46" s="54"/>
    </row>
    <row r="47" spans="1:22">
      <c r="E47" s="91" t="s">
        <v>21</v>
      </c>
      <c r="F47" s="91"/>
      <c r="G47" s="91"/>
      <c r="M47" s="91"/>
      <c r="N47" s="91"/>
      <c r="O47" s="91"/>
      <c r="P47" s="91"/>
      <c r="Q47" s="91"/>
      <c r="R47" s="91"/>
      <c r="S47" s="91"/>
    </row>
    <row r="48" spans="1:22">
      <c r="B48" s="12"/>
      <c r="S48" s="77"/>
      <c r="T48" s="76"/>
    </row>
    <row r="50" spans="7:20">
      <c r="T50" s="54"/>
    </row>
    <row r="51" spans="7:20">
      <c r="G51" s="80"/>
      <c r="H51" s="79"/>
    </row>
    <row r="52" spans="7:20">
      <c r="G52" s="80"/>
      <c r="H52" s="79"/>
    </row>
    <row r="53" spans="7:20">
      <c r="G53" s="80"/>
      <c r="H53" s="79"/>
    </row>
    <row r="54" spans="7:20">
      <c r="G54" s="80"/>
      <c r="H54" s="79"/>
    </row>
    <row r="55" spans="7:20">
      <c r="H55" s="79"/>
    </row>
  </sheetData>
  <mergeCells count="32">
    <mergeCell ref="A18:A19"/>
    <mergeCell ref="B37:D37"/>
    <mergeCell ref="S3:T3"/>
    <mergeCell ref="B6:E7"/>
    <mergeCell ref="D18:D19"/>
    <mergeCell ref="T18:T19"/>
    <mergeCell ref="G12:Q12"/>
    <mergeCell ref="F16:M16"/>
    <mergeCell ref="G13:M13"/>
    <mergeCell ref="F18:F19"/>
    <mergeCell ref="S2:T2"/>
    <mergeCell ref="K44:L44"/>
    <mergeCell ref="B18:C18"/>
    <mergeCell ref="B40:D40"/>
    <mergeCell ref="B31:D31"/>
    <mergeCell ref="B21:D21"/>
    <mergeCell ref="B36:D36"/>
    <mergeCell ref="B30:D30"/>
    <mergeCell ref="B23:B25"/>
    <mergeCell ref="G11:M11"/>
    <mergeCell ref="E47:G47"/>
    <mergeCell ref="E46:G46"/>
    <mergeCell ref="H45:S45"/>
    <mergeCell ref="E45:G45"/>
    <mergeCell ref="M47:S47"/>
    <mergeCell ref="G14:Q14"/>
    <mergeCell ref="D12:E12"/>
    <mergeCell ref="K46:L46"/>
    <mergeCell ref="E18:E19"/>
    <mergeCell ref="S18:S19"/>
    <mergeCell ref="M46:S46"/>
    <mergeCell ref="G18:R18"/>
  </mergeCells>
  <phoneticPr fontId="12" type="noConversion"/>
  <pageMargins left="0.39370078740157483" right="0.19685039370078741" top="0.78740157480314965" bottom="0.78740157480314965" header="0.51181102362204722" footer="0.51181102362204722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5"/>
  <sheetViews>
    <sheetView topLeftCell="B1" workbookViewId="0">
      <selection activeCell="F11" sqref="F11"/>
    </sheetView>
  </sheetViews>
  <sheetFormatPr defaultRowHeight="12.75"/>
  <cols>
    <col min="2" max="2" width="10" customWidth="1"/>
    <col min="3" max="3" width="6.85546875" style="10" customWidth="1"/>
    <col min="4" max="4" width="35.7109375" customWidth="1"/>
    <col min="5" max="5" width="10.28515625" customWidth="1"/>
    <col min="6" max="6" width="10.42578125" style="16" customWidth="1"/>
    <col min="7" max="7" width="9.7109375" customWidth="1"/>
    <col min="8" max="12" width="8.85546875" customWidth="1"/>
    <col min="13" max="14" width="9.42578125" customWidth="1"/>
    <col min="15" max="15" width="9.42578125" hidden="1" customWidth="1"/>
    <col min="16" max="16" width="9.42578125" customWidth="1"/>
    <col min="17" max="17" width="9.28515625" customWidth="1"/>
    <col min="18" max="18" width="12.7109375" style="26" customWidth="1"/>
    <col min="19" max="19" width="24.7109375" customWidth="1"/>
  </cols>
  <sheetData>
    <row r="1" spans="2:19">
      <c r="S1" t="s">
        <v>47</v>
      </c>
    </row>
    <row r="2" spans="2:19">
      <c r="R2" s="95" t="s">
        <v>62</v>
      </c>
      <c r="S2" s="96"/>
    </row>
    <row r="3" spans="2:19">
      <c r="R3" s="120" t="s">
        <v>15</v>
      </c>
      <c r="S3" s="120"/>
    </row>
    <row r="4" spans="2:19">
      <c r="R4" s="24" t="s">
        <v>0</v>
      </c>
      <c r="S4" s="1"/>
    </row>
    <row r="5" spans="2:19">
      <c r="R5" s="24" t="s">
        <v>16</v>
      </c>
      <c r="S5" s="1"/>
    </row>
    <row r="6" spans="2:19">
      <c r="B6" s="121" t="s">
        <v>42</v>
      </c>
      <c r="C6" s="121"/>
      <c r="D6" s="121"/>
      <c r="E6" s="121"/>
      <c r="M6" s="2"/>
      <c r="N6" s="2"/>
      <c r="O6" s="2"/>
      <c r="P6" s="2"/>
      <c r="Q6" s="2"/>
      <c r="R6" s="24"/>
      <c r="S6" s="3" t="s">
        <v>1</v>
      </c>
    </row>
    <row r="7" spans="2:19">
      <c r="B7" s="121"/>
      <c r="C7" s="121"/>
      <c r="D7" s="121"/>
      <c r="E7" s="121"/>
      <c r="R7" s="30" t="s">
        <v>2</v>
      </c>
      <c r="S7" s="3">
        <v>301017</v>
      </c>
    </row>
    <row r="8" spans="2:19">
      <c r="B8" s="13"/>
      <c r="C8" s="17"/>
      <c r="D8" s="4" t="s">
        <v>4</v>
      </c>
      <c r="E8" s="13"/>
      <c r="F8" s="4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30" t="s">
        <v>3</v>
      </c>
      <c r="S8" s="3">
        <v>462524436</v>
      </c>
    </row>
    <row r="9" spans="2:19">
      <c r="B9" s="13"/>
      <c r="C9" s="17"/>
      <c r="D9" s="4"/>
      <c r="E9" s="13"/>
      <c r="F9" s="4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30"/>
      <c r="S9" s="15"/>
    </row>
    <row r="10" spans="2:19">
      <c r="E10" s="5" t="s">
        <v>5</v>
      </c>
      <c r="F10" s="75" t="s">
        <v>6</v>
      </c>
      <c r="R10" s="24"/>
    </row>
    <row r="11" spans="2:19" ht="15.75">
      <c r="D11" s="6" t="s">
        <v>7</v>
      </c>
      <c r="E11" s="7">
        <v>1</v>
      </c>
      <c r="F11" s="78">
        <v>44939</v>
      </c>
      <c r="G11" s="114" t="s">
        <v>8</v>
      </c>
      <c r="H11" s="114"/>
      <c r="I11" s="114"/>
      <c r="J11" s="114"/>
      <c r="K11" s="114"/>
      <c r="L11" s="114"/>
      <c r="M11" s="114"/>
      <c r="N11" s="38"/>
      <c r="O11" s="38"/>
      <c r="P11" s="38"/>
      <c r="Q11" s="38"/>
      <c r="R11" s="24"/>
    </row>
    <row r="12" spans="2:19">
      <c r="C12" s="10" t="s">
        <v>17</v>
      </c>
      <c r="D12" s="85" t="s">
        <v>64</v>
      </c>
      <c r="E12" s="85"/>
      <c r="F12" s="48"/>
      <c r="G12" s="84" t="s">
        <v>63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42"/>
      <c r="S12" s="43"/>
    </row>
    <row r="13" spans="2:19">
      <c r="G13" s="122"/>
      <c r="H13" s="122"/>
      <c r="I13" s="122"/>
      <c r="J13" s="122"/>
      <c r="K13" s="122"/>
      <c r="L13" s="122"/>
      <c r="M13" s="122"/>
      <c r="N13" s="14"/>
      <c r="O13" s="14"/>
      <c r="P13" s="14"/>
      <c r="Q13" s="14"/>
      <c r="R13" s="31"/>
    </row>
    <row r="14" spans="2:19">
      <c r="G14" s="84" t="s">
        <v>46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31"/>
    </row>
    <row r="15" spans="2:19"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31"/>
    </row>
    <row r="16" spans="2:19">
      <c r="F16" s="84"/>
      <c r="G16" s="84"/>
      <c r="H16" s="84"/>
      <c r="I16" s="84"/>
      <c r="J16" s="84"/>
      <c r="K16" s="84"/>
      <c r="L16" s="84"/>
      <c r="M16" s="84"/>
      <c r="N16" s="39"/>
      <c r="O16" s="39"/>
      <c r="P16" s="39"/>
      <c r="Q16" s="39"/>
      <c r="R16" s="32"/>
    </row>
    <row r="18" spans="1:21" ht="24" customHeight="1">
      <c r="A18" s="115" t="s">
        <v>53</v>
      </c>
      <c r="B18" s="98" t="s">
        <v>14</v>
      </c>
      <c r="C18" s="99"/>
      <c r="D18" s="87" t="s">
        <v>18</v>
      </c>
      <c r="E18" s="87" t="s">
        <v>9</v>
      </c>
      <c r="F18" s="87" t="s">
        <v>19</v>
      </c>
      <c r="G18" s="98" t="s">
        <v>20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4"/>
      <c r="R18" s="88" t="s">
        <v>61</v>
      </c>
      <c r="S18" s="87" t="s">
        <v>10</v>
      </c>
      <c r="T18" s="8"/>
    </row>
    <row r="19" spans="1:21" ht="57" customHeight="1">
      <c r="A19" s="116"/>
      <c r="B19" s="57" t="s">
        <v>11</v>
      </c>
      <c r="C19" s="57" t="s">
        <v>12</v>
      </c>
      <c r="D19" s="87"/>
      <c r="E19" s="87"/>
      <c r="F19" s="87"/>
      <c r="G19" s="58" t="s">
        <v>33</v>
      </c>
      <c r="H19" s="58" t="s">
        <v>34</v>
      </c>
      <c r="I19" s="58" t="s">
        <v>41</v>
      </c>
      <c r="J19" s="58" t="s">
        <v>35</v>
      </c>
      <c r="K19" s="58" t="s">
        <v>36</v>
      </c>
      <c r="L19" s="58" t="s">
        <v>37</v>
      </c>
      <c r="M19" s="58" t="s">
        <v>39</v>
      </c>
      <c r="N19" s="58" t="s">
        <v>40</v>
      </c>
      <c r="O19" s="26"/>
      <c r="P19" s="59" t="s">
        <v>52</v>
      </c>
      <c r="Q19" s="58" t="s">
        <v>38</v>
      </c>
      <c r="R19" s="89"/>
      <c r="S19" s="87"/>
      <c r="T19" s="8"/>
    </row>
    <row r="20" spans="1:21" s="46" customFormat="1" ht="12" customHeight="1">
      <c r="A20" s="44">
        <v>1</v>
      </c>
      <c r="B20" s="44">
        <v>2</v>
      </c>
      <c r="C20" s="44">
        <v>3</v>
      </c>
      <c r="D20" s="44">
        <v>4</v>
      </c>
      <c r="E20" s="44">
        <v>5</v>
      </c>
      <c r="F20" s="44">
        <v>6</v>
      </c>
      <c r="G20" s="44">
        <v>7</v>
      </c>
      <c r="H20" s="44">
        <v>8</v>
      </c>
      <c r="I20" s="44">
        <v>9</v>
      </c>
      <c r="J20" s="44">
        <v>10</v>
      </c>
      <c r="K20" s="44">
        <v>11</v>
      </c>
      <c r="L20" s="44">
        <v>12</v>
      </c>
      <c r="M20" s="44">
        <v>13</v>
      </c>
      <c r="N20" s="44">
        <v>14</v>
      </c>
      <c r="O20" s="44">
        <v>14</v>
      </c>
      <c r="P20" s="44">
        <v>15</v>
      </c>
      <c r="Q20" s="44">
        <v>16</v>
      </c>
      <c r="R20" s="44">
        <v>17</v>
      </c>
      <c r="S20" s="44">
        <v>18</v>
      </c>
      <c r="T20" s="45"/>
    </row>
    <row r="21" spans="1:21" s="22" customFormat="1">
      <c r="A21" s="56"/>
      <c r="B21" s="106" t="s">
        <v>25</v>
      </c>
      <c r="C21" s="107"/>
      <c r="D21" s="108"/>
      <c r="E21" s="20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33"/>
      <c r="S21" s="20"/>
      <c r="T21" s="21"/>
    </row>
    <row r="22" spans="1:21">
      <c r="A22" s="60">
        <v>1</v>
      </c>
      <c r="B22" s="61"/>
      <c r="C22" s="62"/>
      <c r="D22" s="60" t="s">
        <v>51</v>
      </c>
      <c r="E22" s="63">
        <v>1</v>
      </c>
      <c r="F22" s="64">
        <v>16060</v>
      </c>
      <c r="G22" s="65">
        <f t="shared" ref="G22:G28" si="0">F22*50%</f>
        <v>8030</v>
      </c>
      <c r="H22" s="65">
        <f>F22*200%</f>
        <v>32120</v>
      </c>
      <c r="I22" s="65"/>
      <c r="J22" s="65">
        <f>F22*15%</f>
        <v>2409</v>
      </c>
      <c r="K22" s="65">
        <f>F22*15%</f>
        <v>2409</v>
      </c>
      <c r="L22" s="65"/>
      <c r="M22" s="65">
        <f>F22*0.31</f>
        <v>4978.6000000000004</v>
      </c>
      <c r="N22" s="60"/>
      <c r="O22" s="65"/>
      <c r="P22" s="65"/>
      <c r="Q22" s="65"/>
      <c r="R22" s="53">
        <f>SUM(F22:Q22)</f>
        <v>66006.600000000006</v>
      </c>
      <c r="S22" s="63"/>
    </row>
    <row r="23" spans="1:21" ht="17.25" customHeight="1">
      <c r="A23" s="60">
        <v>2</v>
      </c>
      <c r="B23" s="112" t="s">
        <v>23</v>
      </c>
      <c r="C23" s="62"/>
      <c r="D23" s="60" t="s">
        <v>24</v>
      </c>
      <c r="E23" s="63">
        <v>1</v>
      </c>
      <c r="F23" s="64">
        <v>12206</v>
      </c>
      <c r="G23" s="65">
        <f t="shared" si="0"/>
        <v>6103</v>
      </c>
      <c r="H23" s="65">
        <f>F23*120%</f>
        <v>14647.199999999999</v>
      </c>
      <c r="I23" s="65"/>
      <c r="J23" s="65">
        <f>F23*30%</f>
        <v>3661.7999999999997</v>
      </c>
      <c r="K23" s="65"/>
      <c r="L23" s="65"/>
      <c r="M23" s="65">
        <f>F23*0.56</f>
        <v>6835.3600000000006</v>
      </c>
      <c r="N23" s="60"/>
      <c r="O23" s="65"/>
      <c r="P23" s="65"/>
      <c r="Q23" s="65"/>
      <c r="R23" s="53">
        <f t="shared" ref="R23:R28" si="1">SUM(F23:Q23)</f>
        <v>43453.36</v>
      </c>
      <c r="S23" s="63"/>
      <c r="T23" s="79"/>
    </row>
    <row r="24" spans="1:21" ht="19.5" customHeight="1">
      <c r="A24" s="60">
        <v>3</v>
      </c>
      <c r="B24" s="113"/>
      <c r="C24" s="62"/>
      <c r="D24" s="60" t="s">
        <v>50</v>
      </c>
      <c r="E24" s="63">
        <v>1</v>
      </c>
      <c r="F24" s="64">
        <v>10278</v>
      </c>
      <c r="G24" s="65">
        <f t="shared" si="0"/>
        <v>5139</v>
      </c>
      <c r="H24" s="65">
        <f>F24*90%</f>
        <v>9250.2000000000007</v>
      </c>
      <c r="I24" s="65"/>
      <c r="J24" s="65">
        <f>F24*30%</f>
        <v>3083.4</v>
      </c>
      <c r="K24" s="65"/>
      <c r="L24" s="65"/>
      <c r="M24" s="65">
        <f>F24*0.54</f>
        <v>5550.1200000000008</v>
      </c>
      <c r="N24" s="60"/>
      <c r="O24" s="65"/>
      <c r="P24" s="65"/>
      <c r="Q24" s="65"/>
      <c r="R24" s="53">
        <f t="shared" si="1"/>
        <v>33300.720000000001</v>
      </c>
      <c r="S24" s="63"/>
      <c r="T24" s="79"/>
    </row>
    <row r="25" spans="1:21" s="16" customFormat="1" ht="18" customHeight="1">
      <c r="A25" s="60">
        <v>4</v>
      </c>
      <c r="B25" s="89"/>
      <c r="C25" s="62"/>
      <c r="D25" s="60" t="s">
        <v>56</v>
      </c>
      <c r="E25" s="63">
        <v>1</v>
      </c>
      <c r="F25" s="64">
        <v>9717</v>
      </c>
      <c r="G25" s="65">
        <f t="shared" si="0"/>
        <v>4858.5</v>
      </c>
      <c r="H25" s="65">
        <f>F25*90%</f>
        <v>8745.3000000000011</v>
      </c>
      <c r="I25" s="65"/>
      <c r="J25" s="65">
        <f>F25*30%</f>
        <v>2915.1</v>
      </c>
      <c r="K25" s="65"/>
      <c r="L25" s="65"/>
      <c r="M25" s="65">
        <f>F25*0.56</f>
        <v>5441.52</v>
      </c>
      <c r="N25" s="60"/>
      <c r="O25" s="65"/>
      <c r="P25" s="65"/>
      <c r="Q25" s="65"/>
      <c r="R25" s="53">
        <f t="shared" si="1"/>
        <v>31677.420000000002</v>
      </c>
      <c r="S25" s="63"/>
    </row>
    <row r="26" spans="1:21" s="16" customFormat="1" ht="18" customHeight="1">
      <c r="A26" s="60">
        <v>5</v>
      </c>
      <c r="B26" s="74"/>
      <c r="C26" s="62"/>
      <c r="D26" s="60" t="s">
        <v>54</v>
      </c>
      <c r="E26" s="63">
        <v>1</v>
      </c>
      <c r="F26" s="64">
        <v>10278</v>
      </c>
      <c r="G26" s="65">
        <f t="shared" si="0"/>
        <v>5139</v>
      </c>
      <c r="H26" s="65">
        <f>F26*90%</f>
        <v>9250.2000000000007</v>
      </c>
      <c r="I26" s="65"/>
      <c r="J26" s="65">
        <f>F26*30%</f>
        <v>3083.4</v>
      </c>
      <c r="K26" s="65"/>
      <c r="L26" s="65"/>
      <c r="M26" s="65">
        <f>F26*0.54</f>
        <v>5550.1200000000008</v>
      </c>
      <c r="N26" s="60"/>
      <c r="O26" s="65"/>
      <c r="P26" s="65"/>
      <c r="Q26" s="65"/>
      <c r="R26" s="53">
        <f>SUM(F26:Q26)</f>
        <v>33300.720000000001</v>
      </c>
      <c r="S26" s="64"/>
    </row>
    <row r="27" spans="1:21" s="16" customFormat="1">
      <c r="A27" s="60">
        <v>6</v>
      </c>
      <c r="B27" s="61"/>
      <c r="C27" s="62"/>
      <c r="D27" s="60" t="s">
        <v>60</v>
      </c>
      <c r="E27" s="63">
        <v>1</v>
      </c>
      <c r="F27" s="64">
        <v>10278</v>
      </c>
      <c r="G27" s="65">
        <f t="shared" si="0"/>
        <v>5139</v>
      </c>
      <c r="H27" s="65">
        <f>F27*90%</f>
        <v>9250.2000000000007</v>
      </c>
      <c r="I27" s="65"/>
      <c r="J27" s="81">
        <f>F27*20%</f>
        <v>2055.6</v>
      </c>
      <c r="K27" s="65"/>
      <c r="L27" s="65"/>
      <c r="M27" s="65">
        <f>F27*0.54</f>
        <v>5550.1200000000008</v>
      </c>
      <c r="N27" s="60"/>
      <c r="O27" s="65"/>
      <c r="P27" s="65"/>
      <c r="Q27" s="65"/>
      <c r="R27" s="53">
        <f t="shared" si="1"/>
        <v>32272.92</v>
      </c>
      <c r="S27" s="64"/>
    </row>
    <row r="28" spans="1:21" s="16" customFormat="1">
      <c r="A28" s="60">
        <v>7</v>
      </c>
      <c r="B28" s="61"/>
      <c r="C28" s="62"/>
      <c r="D28" s="60" t="s">
        <v>57</v>
      </c>
      <c r="E28" s="63">
        <v>0.5</v>
      </c>
      <c r="F28" s="64">
        <v>4859</v>
      </c>
      <c r="G28" s="65">
        <f t="shared" si="0"/>
        <v>2429.5</v>
      </c>
      <c r="H28" s="65">
        <f>F28*90%</f>
        <v>4373.1000000000004</v>
      </c>
      <c r="I28" s="65"/>
      <c r="J28" s="65">
        <f>F28*15%</f>
        <v>728.85</v>
      </c>
      <c r="K28" s="65"/>
      <c r="L28" s="65"/>
      <c r="M28" s="65">
        <f>F28*0.56</f>
        <v>2721.0400000000004</v>
      </c>
      <c r="N28" s="60"/>
      <c r="O28" s="65"/>
      <c r="P28" s="65"/>
      <c r="Q28" s="65"/>
      <c r="R28" s="53">
        <f t="shared" si="1"/>
        <v>15111.490000000002</v>
      </c>
      <c r="S28" s="63"/>
    </row>
    <row r="29" spans="1:21" s="16" customFormat="1" hidden="1">
      <c r="A29" s="60"/>
      <c r="B29" s="61"/>
      <c r="C29" s="62"/>
      <c r="D29" s="60"/>
      <c r="E29" s="63"/>
      <c r="F29" s="64"/>
      <c r="G29" s="65"/>
      <c r="H29" s="65"/>
      <c r="I29" s="65"/>
      <c r="J29" s="65"/>
      <c r="K29" s="65"/>
      <c r="L29" s="65"/>
      <c r="M29" s="65"/>
      <c r="N29" s="60"/>
      <c r="O29" s="65"/>
      <c r="P29" s="65"/>
      <c r="Q29" s="65"/>
      <c r="R29" s="33"/>
      <c r="S29" s="63"/>
    </row>
    <row r="30" spans="1:21" s="22" customFormat="1">
      <c r="A30" s="56"/>
      <c r="B30" s="109" t="s">
        <v>26</v>
      </c>
      <c r="C30" s="110"/>
      <c r="D30" s="111"/>
      <c r="E30" s="25">
        <f>E22+E23+E24+E25+E27+E28+E29+E26</f>
        <v>6.5</v>
      </c>
      <c r="F30" s="28">
        <f>SUM(F22:F29)</f>
        <v>73676</v>
      </c>
      <c r="G30" s="28">
        <f>SUM(G22:G29)</f>
        <v>36838</v>
      </c>
      <c r="H30" s="28">
        <f>SUM(H22:H29)</f>
        <v>87636.2</v>
      </c>
      <c r="I30" s="28"/>
      <c r="J30" s="28">
        <f t="shared" ref="J30:O30" si="2">SUM(J22:J29)</f>
        <v>17937.149999999998</v>
      </c>
      <c r="K30" s="28">
        <f t="shared" si="2"/>
        <v>2409</v>
      </c>
      <c r="L30" s="28">
        <f t="shared" si="2"/>
        <v>0</v>
      </c>
      <c r="M30" s="28">
        <f t="shared" si="2"/>
        <v>36626.880000000005</v>
      </c>
      <c r="N30" s="28">
        <f t="shared" si="2"/>
        <v>0</v>
      </c>
      <c r="O30" s="28">
        <f t="shared" si="2"/>
        <v>0</v>
      </c>
      <c r="P30" s="28"/>
      <c r="Q30" s="28"/>
      <c r="R30" s="28">
        <f>SUM(R22:R29)</f>
        <v>255123.22999999998</v>
      </c>
      <c r="S30" s="25"/>
    </row>
    <row r="31" spans="1:21" s="22" customFormat="1" ht="12.75" customHeight="1">
      <c r="A31" s="56"/>
      <c r="B31" s="103" t="s">
        <v>27</v>
      </c>
      <c r="C31" s="104"/>
      <c r="D31" s="105"/>
      <c r="E31" s="23"/>
      <c r="F31" s="66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33"/>
      <c r="S31" s="23"/>
    </row>
    <row r="32" spans="1:21" s="51" customFormat="1">
      <c r="A32" s="60">
        <v>8</v>
      </c>
      <c r="B32" s="61"/>
      <c r="C32" s="62"/>
      <c r="D32" s="60" t="s">
        <v>48</v>
      </c>
      <c r="E32" s="63">
        <v>1</v>
      </c>
      <c r="F32" s="64">
        <v>6431</v>
      </c>
      <c r="G32" s="65"/>
      <c r="H32" s="65"/>
      <c r="I32" s="67">
        <f>F32*200%</f>
        <v>12862</v>
      </c>
      <c r="J32" s="67">
        <f>F32*20%</f>
        <v>1286.2</v>
      </c>
      <c r="K32" s="67"/>
      <c r="L32" s="67">
        <f>F32/6</f>
        <v>1071.8333333333333</v>
      </c>
      <c r="M32" s="67"/>
      <c r="N32" s="67">
        <f>F32*50%</f>
        <v>3215.5</v>
      </c>
      <c r="O32" s="67"/>
      <c r="P32" s="67"/>
      <c r="Q32" s="67"/>
      <c r="R32" s="33">
        <f>SUM(F32:Q32)*E32</f>
        <v>24866.533333333333</v>
      </c>
      <c r="S32" s="33"/>
      <c r="T32" s="51">
        <v>15626.67</v>
      </c>
      <c r="U32" s="82">
        <f>R32-T32</f>
        <v>9239.8633333333328</v>
      </c>
    </row>
    <row r="33" spans="1:21" s="51" customFormat="1">
      <c r="A33" s="60">
        <v>9</v>
      </c>
      <c r="B33" s="61"/>
      <c r="C33" s="62"/>
      <c r="D33" s="60" t="s">
        <v>49</v>
      </c>
      <c r="E33" s="63">
        <v>1</v>
      </c>
      <c r="F33" s="64">
        <v>6431</v>
      </c>
      <c r="G33" s="65"/>
      <c r="H33" s="65"/>
      <c r="I33" s="67">
        <f>F33*200%</f>
        <v>12862</v>
      </c>
      <c r="J33" s="67">
        <f>F33*10%</f>
        <v>643.1</v>
      </c>
      <c r="K33" s="67"/>
      <c r="L33" s="67">
        <f>F33/6</f>
        <v>1071.8333333333333</v>
      </c>
      <c r="M33" s="67"/>
      <c r="N33" s="67">
        <f>F33*50%</f>
        <v>3215.5</v>
      </c>
      <c r="O33" s="67"/>
      <c r="P33" s="67"/>
      <c r="Q33" s="67"/>
      <c r="R33" s="53">
        <f>SUM(F33:Q33)*E33</f>
        <v>24223.433333333331</v>
      </c>
      <c r="S33" s="53"/>
      <c r="T33" s="51">
        <v>15040.67</v>
      </c>
      <c r="U33" s="82">
        <f t="shared" ref="U33:U41" si="3">R33-T33</f>
        <v>9182.7633333333306</v>
      </c>
    </row>
    <row r="34" spans="1:21" s="51" customFormat="1">
      <c r="A34" s="60">
        <v>10</v>
      </c>
      <c r="B34" s="61"/>
      <c r="C34" s="62"/>
      <c r="D34" s="60" t="s">
        <v>58</v>
      </c>
      <c r="E34" s="63">
        <v>0.5</v>
      </c>
      <c r="F34" s="64">
        <v>3216</v>
      </c>
      <c r="G34" s="65"/>
      <c r="H34" s="65"/>
      <c r="I34" s="67">
        <f>F34*200%</f>
        <v>6432</v>
      </c>
      <c r="J34" s="67">
        <f>F34*15%</f>
        <v>482.4</v>
      </c>
      <c r="K34" s="67"/>
      <c r="L34" s="67">
        <f>F34/6</f>
        <v>536</v>
      </c>
      <c r="M34" s="67"/>
      <c r="N34" s="67">
        <f>F34*50%</f>
        <v>1608</v>
      </c>
      <c r="O34" s="67"/>
      <c r="P34" s="67"/>
      <c r="Q34" s="67"/>
      <c r="R34" s="53">
        <f>F34+I34+J34+L34+N34</f>
        <v>12274.4</v>
      </c>
      <c r="S34" s="53"/>
      <c r="T34" s="51">
        <v>7666.83</v>
      </c>
      <c r="U34" s="82">
        <f t="shared" si="3"/>
        <v>4607.57</v>
      </c>
    </row>
    <row r="35" spans="1:21" s="24" customFormat="1">
      <c r="A35" s="60">
        <v>11</v>
      </c>
      <c r="B35" s="61"/>
      <c r="C35" s="62"/>
      <c r="D35" s="60" t="s">
        <v>59</v>
      </c>
      <c r="E35" s="63">
        <v>1</v>
      </c>
      <c r="F35" s="64">
        <v>6125</v>
      </c>
      <c r="G35" s="65"/>
      <c r="H35" s="65"/>
      <c r="I35" s="67">
        <f>F35*140%</f>
        <v>8575</v>
      </c>
      <c r="J35" s="67">
        <f>F35*15%</f>
        <v>918.75</v>
      </c>
      <c r="K35" s="67"/>
      <c r="L35" s="67">
        <f>F35/6</f>
        <v>1020.8333333333334</v>
      </c>
      <c r="M35" s="67"/>
      <c r="N35" s="67">
        <f>F35*25%</f>
        <v>1531.25</v>
      </c>
      <c r="O35" s="67"/>
      <c r="P35" s="67"/>
      <c r="Q35" s="67"/>
      <c r="R35" s="53">
        <f>SUM(F35:Q35)</f>
        <v>18170.833333333332</v>
      </c>
      <c r="S35" s="53"/>
      <c r="T35" s="51">
        <v>13890</v>
      </c>
      <c r="U35" s="82">
        <f t="shared" si="3"/>
        <v>4280.8333333333321</v>
      </c>
    </row>
    <row r="36" spans="1:21" s="22" customFormat="1">
      <c r="A36" s="56"/>
      <c r="B36" s="109" t="s">
        <v>28</v>
      </c>
      <c r="C36" s="110"/>
      <c r="D36" s="111"/>
      <c r="E36" s="25">
        <f>SUM(E32:E35)</f>
        <v>3.5</v>
      </c>
      <c r="F36" s="25">
        <f>SUM(F32:F35)</f>
        <v>22203</v>
      </c>
      <c r="G36" s="25"/>
      <c r="H36" s="25"/>
      <c r="I36" s="25">
        <f>SUM(I32:I35)</f>
        <v>40731</v>
      </c>
      <c r="J36" s="25">
        <f>SUM(J32:J35)</f>
        <v>3330.4500000000003</v>
      </c>
      <c r="K36" s="25"/>
      <c r="L36" s="25">
        <f>SUM(L32:L35)</f>
        <v>3700.5</v>
      </c>
      <c r="M36" s="25"/>
      <c r="N36" s="25">
        <f>SUM(N32:N35)</f>
        <v>9570.25</v>
      </c>
      <c r="O36" s="25">
        <f>SUM(O32:O35)</f>
        <v>0</v>
      </c>
      <c r="P36" s="28">
        <f>P35</f>
        <v>0</v>
      </c>
      <c r="Q36" s="25"/>
      <c r="R36" s="28">
        <f>SUM(R32:R35)</f>
        <v>79535.199999999997</v>
      </c>
      <c r="S36" s="25"/>
      <c r="U36" s="82">
        <f t="shared" si="3"/>
        <v>79535.199999999997</v>
      </c>
    </row>
    <row r="37" spans="1:21" s="22" customFormat="1">
      <c r="A37" s="56"/>
      <c r="B37" s="117" t="s">
        <v>29</v>
      </c>
      <c r="C37" s="118"/>
      <c r="D37" s="119"/>
      <c r="E37" s="23"/>
      <c r="F37" s="66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3"/>
      <c r="S37" s="23"/>
      <c r="U37" s="82">
        <f t="shared" si="3"/>
        <v>0</v>
      </c>
    </row>
    <row r="38" spans="1:21" s="16" customFormat="1">
      <c r="A38" s="60">
        <v>12</v>
      </c>
      <c r="B38" s="68"/>
      <c r="C38" s="68"/>
      <c r="D38" s="68" t="s">
        <v>31</v>
      </c>
      <c r="E38" s="63">
        <v>1</v>
      </c>
      <c r="F38" s="64">
        <v>5753</v>
      </c>
      <c r="G38" s="65"/>
      <c r="H38" s="65"/>
      <c r="I38" s="67">
        <f>F38*50%</f>
        <v>2876.5</v>
      </c>
      <c r="J38" s="67"/>
      <c r="K38" s="67"/>
      <c r="L38" s="67"/>
      <c r="M38" s="67"/>
      <c r="N38" s="67">
        <f>F38*50%</f>
        <v>2876.5</v>
      </c>
      <c r="O38" s="67"/>
      <c r="P38" s="67"/>
      <c r="Q38" s="67">
        <f>F38</f>
        <v>5753</v>
      </c>
      <c r="R38" s="53">
        <f>SUM(F38:Q38)</f>
        <v>17259</v>
      </c>
      <c r="S38" s="63"/>
      <c r="T38" s="16">
        <v>15729</v>
      </c>
      <c r="U38" s="82">
        <f t="shared" si="3"/>
        <v>1530</v>
      </c>
    </row>
    <row r="39" spans="1:21" s="16" customFormat="1">
      <c r="A39" s="60">
        <v>13</v>
      </c>
      <c r="B39" s="68"/>
      <c r="C39" s="68"/>
      <c r="D39" s="68" t="s">
        <v>43</v>
      </c>
      <c r="E39" s="69">
        <v>0.5</v>
      </c>
      <c r="F39" s="70">
        <v>2288</v>
      </c>
      <c r="G39" s="65"/>
      <c r="H39" s="65"/>
      <c r="I39" s="67">
        <f>F39*50%</f>
        <v>1144</v>
      </c>
      <c r="J39" s="67"/>
      <c r="K39" s="67"/>
      <c r="L39" s="67"/>
      <c r="M39" s="67"/>
      <c r="N39" s="67">
        <f>F39*25%</f>
        <v>572</v>
      </c>
      <c r="O39" s="67"/>
      <c r="P39" s="67">
        <v>4117</v>
      </c>
      <c r="Q39" s="67"/>
      <c r="R39" s="33">
        <f>SUM(F39:Q39)</f>
        <v>8121</v>
      </c>
      <c r="S39" s="63"/>
      <c r="T39" s="16">
        <v>6945</v>
      </c>
      <c r="U39" s="82">
        <f t="shared" si="3"/>
        <v>1176</v>
      </c>
    </row>
    <row r="40" spans="1:21" s="22" customFormat="1" ht="12.75" customHeight="1">
      <c r="A40" s="56"/>
      <c r="B40" s="100" t="s">
        <v>30</v>
      </c>
      <c r="C40" s="101"/>
      <c r="D40" s="102"/>
      <c r="E40" s="25">
        <f>E38+E39</f>
        <v>1.5</v>
      </c>
      <c r="F40" s="28">
        <f>F38+F39</f>
        <v>8041</v>
      </c>
      <c r="G40" s="28"/>
      <c r="H40" s="28"/>
      <c r="I40" s="28">
        <f>I38+I39</f>
        <v>4020.5</v>
      </c>
      <c r="J40" s="28"/>
      <c r="K40" s="28"/>
      <c r="L40" s="28"/>
      <c r="M40" s="28"/>
      <c r="N40" s="28">
        <f>N38+N39</f>
        <v>3448.5</v>
      </c>
      <c r="O40" s="28">
        <f>O38+O39</f>
        <v>0</v>
      </c>
      <c r="P40" s="28">
        <f>P38+P39</f>
        <v>4117</v>
      </c>
      <c r="Q40" s="28">
        <f>Q38</f>
        <v>5753</v>
      </c>
      <c r="R40" s="28">
        <f>R38+R39</f>
        <v>25380</v>
      </c>
      <c r="S40" s="25"/>
      <c r="U40" s="82">
        <f t="shared" si="3"/>
        <v>25380</v>
      </c>
    </row>
    <row r="41" spans="1:21">
      <c r="A41" s="26"/>
      <c r="B41" s="26"/>
      <c r="C41" s="55"/>
      <c r="D41" s="71" t="s">
        <v>13</v>
      </c>
      <c r="E41" s="72">
        <f>E30+E36+E40</f>
        <v>11.5</v>
      </c>
      <c r="F41" s="34">
        <f>F30+F36+F40</f>
        <v>103920</v>
      </c>
      <c r="G41" s="34">
        <f>G30</f>
        <v>36838</v>
      </c>
      <c r="H41" s="34">
        <f t="shared" ref="H41:N41" si="4">H30+H36+H40</f>
        <v>87636.2</v>
      </c>
      <c r="I41" s="34">
        <f t="shared" si="4"/>
        <v>44751.5</v>
      </c>
      <c r="J41" s="34">
        <f t="shared" si="4"/>
        <v>21267.599999999999</v>
      </c>
      <c r="K41" s="34">
        <f t="shared" si="4"/>
        <v>2409</v>
      </c>
      <c r="L41" s="34">
        <f t="shared" si="4"/>
        <v>3700.5</v>
      </c>
      <c r="M41" s="34">
        <f t="shared" si="4"/>
        <v>36626.880000000005</v>
      </c>
      <c r="N41" s="34">
        <f t="shared" si="4"/>
        <v>13018.75</v>
      </c>
      <c r="O41" s="34">
        <f>O30+O36+O40</f>
        <v>0</v>
      </c>
      <c r="P41" s="34">
        <f>P30+P36+P40</f>
        <v>4117</v>
      </c>
      <c r="Q41" s="34">
        <f>Q30+Q36+Q40</f>
        <v>5753</v>
      </c>
      <c r="R41" s="34">
        <f>R40+R36+R30</f>
        <v>360038.43</v>
      </c>
      <c r="S41" s="63"/>
      <c r="U41" s="82">
        <f t="shared" si="3"/>
        <v>360038.43</v>
      </c>
    </row>
    <row r="42" spans="1:21">
      <c r="D42" s="9"/>
      <c r="E42" s="11"/>
      <c r="F42" s="49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40"/>
      <c r="S42" s="10"/>
    </row>
    <row r="43" spans="1:21">
      <c r="D43" s="9"/>
      <c r="E43" s="11"/>
      <c r="F43" s="49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40"/>
      <c r="S43" s="10"/>
    </row>
    <row r="44" spans="1:21" s="24" customFormat="1">
      <c r="C44" s="35" t="s">
        <v>44</v>
      </c>
      <c r="D44" s="35"/>
      <c r="E44" s="36"/>
      <c r="F44" s="50"/>
      <c r="G44" s="37"/>
      <c r="H44" s="52"/>
      <c r="I44" s="52"/>
      <c r="J44" s="52"/>
      <c r="K44" s="97" t="s">
        <v>55</v>
      </c>
      <c r="L44" s="97"/>
      <c r="M44" s="52"/>
      <c r="N44" s="52"/>
      <c r="O44" s="52"/>
      <c r="P44" s="52"/>
      <c r="Q44" s="52"/>
      <c r="R44" s="73"/>
      <c r="S44" s="41"/>
    </row>
    <row r="45" spans="1:21">
      <c r="D45" s="18"/>
      <c r="E45" s="91" t="s">
        <v>21</v>
      </c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19"/>
      <c r="T45" s="19"/>
    </row>
    <row r="46" spans="1:21">
      <c r="B46" s="12"/>
      <c r="C46" t="s">
        <v>32</v>
      </c>
      <c r="E46" s="86" t="s">
        <v>22</v>
      </c>
      <c r="F46" s="86"/>
      <c r="G46" s="86"/>
      <c r="K46" s="86" t="s">
        <v>45</v>
      </c>
      <c r="L46" s="86"/>
      <c r="M46" s="90"/>
      <c r="N46" s="90"/>
      <c r="O46" s="90"/>
      <c r="P46" s="90"/>
      <c r="Q46" s="90"/>
      <c r="R46" s="90"/>
      <c r="S46" s="54"/>
    </row>
    <row r="47" spans="1:21">
      <c r="E47" s="91" t="s">
        <v>21</v>
      </c>
      <c r="F47" s="91"/>
      <c r="G47" s="91"/>
      <c r="M47" s="91"/>
      <c r="N47" s="91"/>
      <c r="O47" s="91"/>
      <c r="P47" s="91"/>
      <c r="Q47" s="91"/>
      <c r="R47" s="91"/>
    </row>
    <row r="48" spans="1:21">
      <c r="B48" s="12"/>
      <c r="R48" s="77"/>
      <c r="S48" s="76"/>
    </row>
    <row r="50" spans="7:19">
      <c r="S50" s="54"/>
    </row>
    <row r="51" spans="7:19">
      <c r="G51" s="80"/>
      <c r="H51" s="79"/>
    </row>
    <row r="52" spans="7:19">
      <c r="G52" s="80"/>
      <c r="H52" s="79"/>
    </row>
    <row r="53" spans="7:19">
      <c r="G53" s="80"/>
      <c r="H53" s="79"/>
    </row>
    <row r="54" spans="7:19">
      <c r="G54" s="80"/>
      <c r="H54" s="79"/>
    </row>
    <row r="55" spans="7:19">
      <c r="H55" s="79"/>
    </row>
  </sheetData>
  <mergeCells count="32">
    <mergeCell ref="E46:G46"/>
    <mergeCell ref="K46:L46"/>
    <mergeCell ref="M46:R46"/>
    <mergeCell ref="E47:G47"/>
    <mergeCell ref="M47:R47"/>
    <mergeCell ref="H45:R45"/>
    <mergeCell ref="R18:R19"/>
    <mergeCell ref="S18:S19"/>
    <mergeCell ref="B21:D21"/>
    <mergeCell ref="B23:B25"/>
    <mergeCell ref="B30:D30"/>
    <mergeCell ref="B31:D31"/>
    <mergeCell ref="B36:D36"/>
    <mergeCell ref="B37:D37"/>
    <mergeCell ref="B40:D40"/>
    <mergeCell ref="K44:L44"/>
    <mergeCell ref="E45:G45"/>
    <mergeCell ref="G13:M13"/>
    <mergeCell ref="G14:Q14"/>
    <mergeCell ref="F16:M16"/>
    <mergeCell ref="A18:A19"/>
    <mergeCell ref="B18:C18"/>
    <mergeCell ref="D18:D19"/>
    <mergeCell ref="E18:E19"/>
    <mergeCell ref="F18:F19"/>
    <mergeCell ref="G18:Q18"/>
    <mergeCell ref="R2:S2"/>
    <mergeCell ref="R3:S3"/>
    <mergeCell ref="B6:E7"/>
    <mergeCell ref="G11:M11"/>
    <mergeCell ref="D12:E12"/>
    <mergeCell ref="G12:Q12"/>
  </mergeCells>
  <pageMargins left="0.39370078740157483" right="0.19685039370078741" top="0.78740157480314965" bottom="0.78740157480314965" header="0.51181102362204722" footer="0.51181102362204722"/>
  <pageSetup paperSize="9" scale="6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01.10.23</vt:lpstr>
      <vt:lpstr>01.10.23 5,5%</vt:lpstr>
    </vt:vector>
  </TitlesOfParts>
  <Company>POF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2023-10-03T11:00:41Z</cp:lastPrinted>
  <dcterms:created xsi:type="dcterms:W3CDTF">2003-12-06T15:09:59Z</dcterms:created>
  <dcterms:modified xsi:type="dcterms:W3CDTF">2023-10-04T07:43:54Z</dcterms:modified>
</cp:coreProperties>
</file>